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englandpreserves/Dropbox/TNRA/WEBSITE/AGM_2024/"/>
    </mc:Choice>
  </mc:AlternateContent>
  <xr:revisionPtr revIDLastSave="0" documentId="8_{3F567792-BD59-074B-9D5F-2465C510A618}" xr6:coauthVersionLast="47" xr6:coauthVersionMax="47" xr10:uidLastSave="{00000000-0000-0000-0000-000000000000}"/>
  <bookViews>
    <workbookView xWindow="0" yWindow="500" windowWidth="26240" windowHeight="20180" xr2:uid="{00000000-000D-0000-FFFF-FFFF00000000}"/>
  </bookViews>
  <sheets>
    <sheet name="Accounts - TNRA ACCOUNTS 01.04." sheetId="1" r:id="rId1"/>
    <sheet name="Income 2021-2022 - Table 1-1" sheetId="2" state="hidden" r:id="rId2"/>
    <sheet name="Expenses 2021-2022" sheetId="4" state="hidden" r:id="rId3"/>
    <sheet name="Bank down load 2021-2022" sheetId="5" state="hidden" r:id="rId4"/>
    <sheet name="Income 2023-2024 - Table 1-1" sheetId="19" r:id="rId5"/>
    <sheet name="Expenses 2023-2024" sheetId="18" r:id="rId6"/>
    <sheet name="Bank down load 2023-2024" sheetId="17" r:id="rId7"/>
    <sheet name="Income 2020 to 2021 - Table 1-1" sheetId="6" state="hidden" r:id="rId8"/>
    <sheet name="Expenses 2020 to 2021" sheetId="8" state="hidden" r:id="rId9"/>
    <sheet name="Income TNRA 2019 to 2020" sheetId="9" state="hidden" r:id="rId10"/>
    <sheet name="Expenses 2019 to 2020" sheetId="10" state="hidden" r:id="rId11"/>
    <sheet name="Income - TNRA INCOME 2018 to 20" sheetId="11" state="hidden" r:id="rId12"/>
    <sheet name="Expenses - TNRA EXPENSES 2018 -" sheetId="12" state="hidden" r:id="rId13"/>
    <sheet name="Bank Download 2017-2018" sheetId="13" state="hidden" r:id="rId14"/>
    <sheet name="Bank Download 2018-2019" sheetId="14" state="hidden" r:id="rId15"/>
    <sheet name="Bank download 2019-2020" sheetId="15" state="hidden" r:id="rId16"/>
    <sheet name="Bank download 2020-2021" sheetId="16" state="hidden" r:id="rId17"/>
  </sheets>
  <definedNames>
    <definedName name="_xlnm._FilterDatabase" localSheetId="2" hidden="1">'Expenses 2021-2022'!$A$17:$AG$73</definedName>
    <definedName name="_xlnm._FilterDatabase" localSheetId="5" hidden="1">'Expenses 2023-2024'!$A$10:$D$65</definedName>
    <definedName name="_xlnm._FilterDatabase" localSheetId="4" hidden="1">'Income 2023-2024 - Table 1-1'!$A$31:$D$101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1" i="1"/>
  <c r="C75" i="1"/>
  <c r="C73" i="1"/>
  <c r="C53" i="1"/>
  <c r="C35" i="1"/>
  <c r="C84" i="1"/>
  <c r="C79" i="1"/>
  <c r="C78" i="1"/>
  <c r="C77" i="1"/>
  <c r="G81" i="1"/>
  <c r="G75" i="1"/>
  <c r="G71" i="1"/>
  <c r="G53" i="1"/>
  <c r="G35" i="1"/>
  <c r="G28" i="1"/>
  <c r="C71" i="1"/>
  <c r="C28" i="1"/>
  <c r="C22" i="1"/>
  <c r="C12" i="1"/>
  <c r="B59" i="1"/>
  <c r="B61" i="1"/>
  <c r="B62" i="1"/>
  <c r="B64" i="1"/>
  <c r="B65" i="1"/>
  <c r="B66" i="1"/>
  <c r="B67" i="1"/>
  <c r="B56" i="1"/>
  <c r="L23" i="18"/>
  <c r="AH18" i="18"/>
  <c r="AE65" i="18"/>
  <c r="AH63" i="18"/>
  <c r="Q61" i="18"/>
  <c r="AH58" i="18"/>
  <c r="Q57" i="18"/>
  <c r="AB55" i="18"/>
  <c r="Y54" i="18"/>
  <c r="Q52" i="18"/>
  <c r="Q51" i="18"/>
  <c r="Q47" i="18"/>
  <c r="Q45" i="18"/>
  <c r="O44" i="18"/>
  <c r="O43" i="18"/>
  <c r="R39" i="18"/>
  <c r="AB38" i="18"/>
  <c r="V35" i="18"/>
  <c r="K33" i="18"/>
  <c r="K32" i="18"/>
  <c r="AB30" i="18"/>
  <c r="V26" i="18"/>
  <c r="AB20" i="18"/>
  <c r="AD17" i="18"/>
  <c r="W16" i="18"/>
  <c r="L15" i="18"/>
  <c r="AF13" i="18"/>
  <c r="X12" i="18"/>
  <c r="X11" i="18"/>
  <c r="J65" i="19"/>
  <c r="I101" i="19"/>
  <c r="L97" i="19"/>
  <c r="I96" i="19"/>
  <c r="P95" i="19"/>
  <c r="M94" i="19"/>
  <c r="M93" i="19"/>
  <c r="L92" i="19"/>
  <c r="Q90" i="19"/>
  <c r="Q89" i="19"/>
  <c r="L88" i="19"/>
  <c r="Q87" i="19"/>
  <c r="I86" i="19"/>
  <c r="K85" i="19"/>
  <c r="P82" i="19"/>
  <c r="I83" i="19"/>
  <c r="L81" i="19"/>
  <c r="P79" i="19"/>
  <c r="I78" i="19"/>
  <c r="I77" i="19"/>
  <c r="T75" i="19"/>
  <c r="T74" i="19"/>
  <c r="I72" i="19"/>
  <c r="J71" i="19"/>
  <c r="L70" i="19"/>
  <c r="P69" i="19"/>
  <c r="M68" i="19"/>
  <c r="M67" i="19"/>
  <c r="P66" i="19"/>
  <c r="K64" i="19"/>
  <c r="I63" i="19"/>
  <c r="J61" i="19"/>
  <c r="I60" i="19"/>
  <c r="P54" i="19"/>
  <c r="L53" i="19"/>
  <c r="I48" i="19"/>
  <c r="P38" i="19"/>
  <c r="L37" i="19"/>
  <c r="S59" i="19"/>
  <c r="S58" i="19"/>
  <c r="S57" i="19"/>
  <c r="S56" i="19"/>
  <c r="S55" i="19"/>
  <c r="S52" i="19"/>
  <c r="S51" i="19"/>
  <c r="S50" i="19"/>
  <c r="S49" i="19"/>
  <c r="S47" i="19"/>
  <c r="S46" i="19"/>
  <c r="S45" i="19"/>
  <c r="S44" i="19"/>
  <c r="S43" i="19"/>
  <c r="S42" i="19"/>
  <c r="S41" i="19"/>
  <c r="S40" i="19"/>
  <c r="S39" i="19"/>
  <c r="S36" i="19"/>
  <c r="I100" i="19"/>
  <c r="I99" i="19"/>
  <c r="I98" i="19"/>
  <c r="I91" i="19"/>
  <c r="I84" i="19"/>
  <c r="I80" i="19"/>
  <c r="I76" i="19"/>
  <c r="I73" i="19"/>
  <c r="I62" i="19"/>
  <c r="I35" i="19"/>
  <c r="I34" i="19"/>
  <c r="I64" i="18"/>
  <c r="I49" i="18"/>
  <c r="I36" i="18"/>
  <c r="I25" i="18"/>
  <c r="AD62" i="18"/>
  <c r="AD59" i="18"/>
  <c r="AD53" i="18"/>
  <c r="AD48" i="18"/>
  <c r="AD46" i="18"/>
  <c r="AD41" i="18"/>
  <c r="AD34" i="18"/>
  <c r="AD31" i="18"/>
  <c r="AD27" i="18"/>
  <c r="AD24" i="18"/>
  <c r="AD21" i="18"/>
  <c r="AA60" i="18"/>
  <c r="AA56" i="18"/>
  <c r="AA42" i="18"/>
  <c r="AA40" i="18"/>
  <c r="AA37" i="18"/>
  <c r="AA29" i="18"/>
  <c r="AA28" i="18"/>
  <c r="AA22" i="18"/>
  <c r="AA19" i="18"/>
  <c r="AA14" i="18"/>
  <c r="C85" i="1" l="1"/>
  <c r="G73" i="1"/>
  <c r="D70" i="18"/>
  <c r="D109" i="19"/>
  <c r="G25" i="19"/>
  <c r="G26" i="19"/>
  <c r="G27" i="19"/>
  <c r="G24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7" i="19"/>
  <c r="AI70" i="18"/>
  <c r="W70" i="18"/>
  <c r="B51" i="1" s="1"/>
  <c r="F70" i="18"/>
  <c r="G70" i="18"/>
  <c r="H70" i="18"/>
  <c r="J70" i="18"/>
  <c r="M70" i="18"/>
  <c r="O70" i="18"/>
  <c r="B45" i="1" s="1"/>
  <c r="R70" i="18"/>
  <c r="B44" i="1" s="1"/>
  <c r="T70" i="18"/>
  <c r="U70" i="18"/>
  <c r="Y70" i="18"/>
  <c r="B53" i="1" s="1"/>
  <c r="Z70" i="18"/>
  <c r="F159" i="17"/>
  <c r="F158" i="17" s="1"/>
  <c r="F157" i="17" s="1"/>
  <c r="F156" i="17" s="1"/>
  <c r="F155" i="17" s="1"/>
  <c r="F148" i="17"/>
  <c r="F147" i="17" s="1"/>
  <c r="F146" i="17" s="1"/>
  <c r="F19" i="17"/>
  <c r="F18" i="17" s="1"/>
  <c r="F17" i="17" s="1"/>
  <c r="F16" i="17" s="1"/>
  <c r="F15" i="17" s="1"/>
  <c r="F14" i="17" s="1"/>
  <c r="F13" i="17" s="1"/>
  <c r="F12" i="17" s="1"/>
  <c r="F11" i="17" s="1"/>
  <c r="F10" i="17" s="1"/>
  <c r="F9" i="17" s="1"/>
  <c r="F8" i="17" s="1"/>
  <c r="F7" i="17" s="1"/>
  <c r="F6" i="17" s="1"/>
  <c r="AH70" i="18" l="1"/>
  <c r="B68" i="1" s="1"/>
  <c r="AD70" i="18"/>
  <c r="B60" i="1" s="1"/>
  <c r="P70" i="18"/>
  <c r="F145" i="17"/>
  <c r="F144" i="17" s="1"/>
  <c r="F143" i="17" s="1"/>
  <c r="F142" i="17" s="1"/>
  <c r="F141" i="17" s="1"/>
  <c r="F140" i="17" s="1"/>
  <c r="F139" i="17" s="1"/>
  <c r="F138" i="17" s="1"/>
  <c r="F137" i="17" s="1"/>
  <c r="F136" i="17" s="1"/>
  <c r="F135" i="17" s="1"/>
  <c r="F134" i="17" s="1"/>
  <c r="F133" i="17" s="1"/>
  <c r="F132" i="17" s="1"/>
  <c r="F131" i="17" s="1"/>
  <c r="F130" i="17" s="1"/>
  <c r="F129" i="17" s="1"/>
  <c r="F128" i="17" s="1"/>
  <c r="F127" i="17" s="1"/>
  <c r="F126" i="17" s="1"/>
  <c r="F125" i="17" s="1"/>
  <c r="F124" i="17" s="1"/>
  <c r="F123" i="17" s="1"/>
  <c r="F122" i="17" s="1"/>
  <c r="F121" i="17" s="1"/>
  <c r="F120" i="17" s="1"/>
  <c r="F119" i="17" s="1"/>
  <c r="F118" i="17" s="1"/>
  <c r="F117" i="17" s="1"/>
  <c r="F116" i="17" s="1"/>
  <c r="F115" i="17" s="1"/>
  <c r="F114" i="17" s="1"/>
  <c r="F113" i="17" s="1"/>
  <c r="F112" i="17" s="1"/>
  <c r="F111" i="17" s="1"/>
  <c r="F110" i="17" s="1"/>
  <c r="F109" i="17" s="1"/>
  <c r="F108" i="17" s="1"/>
  <c r="F107" i="17" s="1"/>
  <c r="F106" i="17" s="1"/>
  <c r="F105" i="17" s="1"/>
  <c r="F104" i="17" s="1"/>
  <c r="F103" i="17" s="1"/>
  <c r="F102" i="17" s="1"/>
  <c r="F101" i="17" s="1"/>
  <c r="F100" i="17" s="1"/>
  <c r="F99" i="17" s="1"/>
  <c r="F98" i="17" s="1"/>
  <c r="F97" i="17" s="1"/>
  <c r="F96" i="17" s="1"/>
  <c r="F95" i="17" s="1"/>
  <c r="F94" i="17" s="1"/>
  <c r="F93" i="17" s="1"/>
  <c r="F92" i="17" s="1"/>
  <c r="F91" i="17" s="1"/>
  <c r="F90" i="17" s="1"/>
  <c r="F89" i="17" s="1"/>
  <c r="F88" i="17" s="1"/>
  <c r="F87" i="17" s="1"/>
  <c r="F86" i="17" s="1"/>
  <c r="F85" i="17" s="1"/>
  <c r="F84" i="17" s="1"/>
  <c r="F83" i="17" s="1"/>
  <c r="F82" i="17" s="1"/>
  <c r="F81" i="17" s="1"/>
  <c r="F80" i="17" s="1"/>
  <c r="F79" i="17" s="1"/>
  <c r="F78" i="17" s="1"/>
  <c r="F77" i="17" s="1"/>
  <c r="F76" i="17" s="1"/>
  <c r="F75" i="17" s="1"/>
  <c r="F74" i="17" s="1"/>
  <c r="F73" i="17" s="1"/>
  <c r="F72" i="17" s="1"/>
  <c r="F71" i="17" s="1"/>
  <c r="F70" i="17" s="1"/>
  <c r="F69" i="17" s="1"/>
  <c r="F68" i="17" s="1"/>
  <c r="F67" i="17" s="1"/>
  <c r="F66" i="17" s="1"/>
  <c r="F65" i="17" s="1"/>
  <c r="F64" i="17" s="1"/>
  <c r="F63" i="17" s="1"/>
  <c r="F62" i="17" s="1"/>
  <c r="F61" i="17" s="1"/>
  <c r="F60" i="17" s="1"/>
  <c r="F59" i="17" s="1"/>
  <c r="F58" i="17" s="1"/>
  <c r="F57" i="17" s="1"/>
  <c r="F56" i="17" s="1"/>
  <c r="F55" i="17" s="1"/>
  <c r="F54" i="17" s="1"/>
  <c r="F53" i="17" s="1"/>
  <c r="F52" i="17" s="1"/>
  <c r="F51" i="17" s="1"/>
  <c r="F50" i="17" s="1"/>
  <c r="F49" i="17" s="1"/>
  <c r="F48" i="17" s="1"/>
  <c r="F47" i="17" s="1"/>
  <c r="F46" i="17" s="1"/>
  <c r="F45" i="17" s="1"/>
  <c r="F44" i="17" s="1"/>
  <c r="F43" i="17" s="1"/>
  <c r="F42" i="17" s="1"/>
  <c r="F41" i="17" s="1"/>
  <c r="F40" i="17" s="1"/>
  <c r="F39" i="17" s="1"/>
  <c r="F38" i="17" s="1"/>
  <c r="F37" i="17" s="1"/>
  <c r="F36" i="17" s="1"/>
  <c r="F35" i="17" s="1"/>
  <c r="F34" i="17" s="1"/>
  <c r="F33" i="17" s="1"/>
  <c r="F32" i="17" s="1"/>
  <c r="F31" i="17" s="1"/>
  <c r="F30" i="17" s="1"/>
  <c r="F29" i="17" s="1"/>
  <c r="F28" i="17" s="1"/>
  <c r="F27" i="17" s="1"/>
  <c r="F26" i="17" s="1"/>
  <c r="B31" i="1"/>
  <c r="AG70" i="18"/>
  <c r="AJ70" i="18"/>
  <c r="S109" i="19"/>
  <c r="B20" i="1" s="1"/>
  <c r="I109" i="19"/>
  <c r="C5" i="1" s="1"/>
  <c r="H109" i="19"/>
  <c r="J109" i="19"/>
  <c r="C6" i="1" s="1"/>
  <c r="K109" i="19"/>
  <c r="C7" i="1" s="1"/>
  <c r="L109" i="19"/>
  <c r="C8" i="1" s="1"/>
  <c r="M109" i="19"/>
  <c r="C11" i="1" s="1"/>
  <c r="N109" i="19"/>
  <c r="O109" i="19"/>
  <c r="P109" i="19"/>
  <c r="B15" i="1" s="1"/>
  <c r="Q109" i="19"/>
  <c r="B16" i="1" s="1"/>
  <c r="R109" i="19"/>
  <c r="U109" i="19"/>
  <c r="V109" i="19"/>
  <c r="T109" i="19"/>
  <c r="B22" i="1" s="1"/>
  <c r="S70" i="18"/>
  <c r="K70" i="18"/>
  <c r="B52" i="1" s="1"/>
  <c r="V70" i="18"/>
  <c r="B49" i="1" s="1"/>
  <c r="I70" i="18"/>
  <c r="B35" i="1" s="1"/>
  <c r="AC70" i="18"/>
  <c r="G109" i="19" l="1"/>
  <c r="C26" i="1" s="1"/>
  <c r="AA70" i="18"/>
  <c r="B57" i="1" s="1"/>
  <c r="AF70" i="18"/>
  <c r="B71" i="1" s="1"/>
  <c r="N70" i="18"/>
  <c r="Q70" i="18"/>
  <c r="B42" i="1" s="1"/>
  <c r="AE70" i="18"/>
  <c r="B63" i="1" s="1"/>
  <c r="AB70" i="18"/>
  <c r="B58" i="1" s="1"/>
  <c r="X70" i="18"/>
  <c r="B50" i="1" s="1"/>
  <c r="L70" i="18"/>
  <c r="B40" i="1" s="1"/>
  <c r="G22" i="1"/>
  <c r="G85" i="1" s="1"/>
  <c r="G86" i="1" s="1"/>
  <c r="F72" i="18" l="1"/>
  <c r="F73" i="18" s="1"/>
  <c r="D111" i="19"/>
  <c r="H23" i="2" l="1"/>
  <c r="I78" i="1"/>
  <c r="I77" i="1"/>
  <c r="I53" i="1"/>
  <c r="I35" i="1"/>
  <c r="M8" i="1"/>
  <c r="K9" i="1"/>
  <c r="K10" i="1"/>
  <c r="P75" i="4"/>
  <c r="H20" i="1"/>
  <c r="I72" i="2"/>
  <c r="H24" i="2"/>
  <c r="H57" i="1"/>
  <c r="H68" i="1"/>
  <c r="AE75" i="4"/>
  <c r="I81" i="1" l="1"/>
  <c r="U7" i="4"/>
  <c r="U75" i="4" s="1"/>
  <c r="K5" i="1"/>
  <c r="H71" i="1"/>
  <c r="I71" i="1" s="1"/>
  <c r="I73" i="1" s="1"/>
  <c r="AF45" i="8"/>
  <c r="G54" i="8"/>
  <c r="J31" i="1" s="1"/>
  <c r="F75" i="4"/>
  <c r="G75" i="4"/>
  <c r="H75" i="4"/>
  <c r="J75" i="4"/>
  <c r="K75" i="4"/>
  <c r="N75" i="4"/>
  <c r="O75" i="4"/>
  <c r="R75" i="4"/>
  <c r="T75" i="4"/>
  <c r="V75" i="4"/>
  <c r="W75" i="4"/>
  <c r="Z75" i="4"/>
  <c r="AB75" i="4"/>
  <c r="AC75" i="4"/>
  <c r="AD75" i="4"/>
  <c r="AG75" i="4"/>
  <c r="N59" i="6"/>
  <c r="O59" i="6"/>
  <c r="J16" i="1" s="1"/>
  <c r="H52" i="6"/>
  <c r="E50" i="6"/>
  <c r="O25" i="2"/>
  <c r="D72" i="2"/>
  <c r="Q72" i="2"/>
  <c r="R72" i="2"/>
  <c r="S72" i="2"/>
  <c r="T72" i="2"/>
  <c r="U72" i="2"/>
  <c r="J72" i="2"/>
  <c r="I6" i="1" s="1"/>
  <c r="K72" i="2"/>
  <c r="I7" i="1" s="1"/>
  <c r="M72" i="2"/>
  <c r="I11" i="1" s="1"/>
  <c r="N72" i="2"/>
  <c r="H14" i="1" s="1"/>
  <c r="P72" i="2"/>
  <c r="AE68" i="4"/>
  <c r="L65" i="4"/>
  <c r="AE63" i="4"/>
  <c r="Y55" i="4"/>
  <c r="Y75" i="4" s="1"/>
  <c r="X60" i="4"/>
  <c r="X59" i="4"/>
  <c r="AF72" i="4"/>
  <c r="AF73" i="4"/>
  <c r="AF11" i="4"/>
  <c r="AF75" i="4" s="1"/>
  <c r="AF12" i="4"/>
  <c r="AF13" i="4"/>
  <c r="S45" i="4"/>
  <c r="S43" i="4"/>
  <c r="L42" i="4"/>
  <c r="L75" i="4" s="1"/>
  <c r="M40" i="4"/>
  <c r="M75" i="4" s="1"/>
  <c r="S34" i="4"/>
  <c r="AG29" i="4"/>
  <c r="AE26" i="4"/>
  <c r="G7" i="2" l="1"/>
  <c r="Q36" i="4"/>
  <c r="Q31" i="4"/>
  <c r="Q32" i="4"/>
  <c r="Q33" i="4"/>
  <c r="Q30" i="4"/>
  <c r="S20" i="4"/>
  <c r="S75" i="4" s="1"/>
  <c r="X49" i="4"/>
  <c r="X47" i="4"/>
  <c r="X46" i="4"/>
  <c r="X35" i="4"/>
  <c r="X25" i="4"/>
  <c r="X23" i="4"/>
  <c r="I71" i="4"/>
  <c r="I64" i="4"/>
  <c r="I58" i="4"/>
  <c r="I48" i="4"/>
  <c r="I22" i="4"/>
  <c r="I75" i="4" s="1"/>
  <c r="AA70" i="4"/>
  <c r="AA67" i="4"/>
  <c r="AA62" i="4"/>
  <c r="AA57" i="4"/>
  <c r="AA54" i="4"/>
  <c r="AA51" i="4"/>
  <c r="AA44" i="4"/>
  <c r="AA38" i="4"/>
  <c r="AA27" i="4"/>
  <c r="AA21" i="4"/>
  <c r="AA19" i="4"/>
  <c r="AA18" i="4"/>
  <c r="I51" i="2"/>
  <c r="I45" i="2"/>
  <c r="I43" i="2"/>
  <c r="I42" i="2"/>
  <c r="I40" i="2"/>
  <c r="I37" i="2"/>
  <c r="I36" i="2"/>
  <c r="L31" i="2"/>
  <c r="L30" i="2"/>
  <c r="O29" i="2"/>
  <c r="O72" i="2" s="1"/>
  <c r="H15" i="1" s="1"/>
  <c r="I22" i="1" s="1"/>
  <c r="I28" i="2"/>
  <c r="O32" i="2"/>
  <c r="L33" i="2"/>
  <c r="I34" i="2"/>
  <c r="O38" i="2"/>
  <c r="O67" i="2"/>
  <c r="O65" i="2"/>
  <c r="L59" i="2"/>
  <c r="L55" i="2"/>
  <c r="O70" i="2"/>
  <c r="I69" i="2"/>
  <c r="H12" i="2"/>
  <c r="H72" i="2" s="1"/>
  <c r="G9" i="2"/>
  <c r="G10" i="2"/>
  <c r="G11" i="2"/>
  <c r="G13" i="2"/>
  <c r="G14" i="2"/>
  <c r="G15" i="2"/>
  <c r="G16" i="2"/>
  <c r="G17" i="2"/>
  <c r="G18" i="2"/>
  <c r="G19" i="2"/>
  <c r="G8" i="2"/>
  <c r="F132" i="5"/>
  <c r="F131" i="5" s="1"/>
  <c r="F130" i="5" s="1"/>
  <c r="F129" i="5" s="1"/>
  <c r="F128" i="5" s="1"/>
  <c r="F127" i="5" s="1"/>
  <c r="F126" i="5" s="1"/>
  <c r="F125" i="5" s="1"/>
  <c r="F124" i="5" s="1"/>
  <c r="F123" i="5" s="1"/>
  <c r="F122" i="5" s="1"/>
  <c r="F121" i="5" s="1"/>
  <c r="F120" i="5" s="1"/>
  <c r="F119" i="5" s="1"/>
  <c r="F118" i="5" s="1"/>
  <c r="F117" i="5" s="1"/>
  <c r="F116" i="5" s="1"/>
  <c r="F115" i="5" s="1"/>
  <c r="F114" i="5" s="1"/>
  <c r="F113" i="5" s="1"/>
  <c r="F112" i="5" s="1"/>
  <c r="F111" i="5" s="1"/>
  <c r="F110" i="5" s="1"/>
  <c r="F109" i="5" s="1"/>
  <c r="F108" i="5" s="1"/>
  <c r="F107" i="5" s="1"/>
  <c r="F106" i="5" s="1"/>
  <c r="F105" i="5" s="1"/>
  <c r="F104" i="5" s="1"/>
  <c r="F103" i="5" s="1"/>
  <c r="F102" i="5" s="1"/>
  <c r="F101" i="5" s="1"/>
  <c r="F100" i="5" s="1"/>
  <c r="F99" i="5" s="1"/>
  <c r="F98" i="5" s="1"/>
  <c r="F97" i="5" s="1"/>
  <c r="F96" i="5" s="1"/>
  <c r="F95" i="5" s="1"/>
  <c r="F94" i="5" s="1"/>
  <c r="F93" i="5" s="1"/>
  <c r="F92" i="5" s="1"/>
  <c r="F91" i="5" s="1"/>
  <c r="F90" i="5" s="1"/>
  <c r="F89" i="5" s="1"/>
  <c r="F88" i="5" s="1"/>
  <c r="F87" i="5" s="1"/>
  <c r="F86" i="5" s="1"/>
  <c r="F85" i="5" s="1"/>
  <c r="F84" i="5" s="1"/>
  <c r="F83" i="5" s="1"/>
  <c r="F82" i="5" s="1"/>
  <c r="F81" i="5" s="1"/>
  <c r="F80" i="5" s="1"/>
  <c r="F79" i="5" s="1"/>
  <c r="F78" i="5" s="1"/>
  <c r="F77" i="5" s="1"/>
  <c r="F76" i="5" s="1"/>
  <c r="F75" i="5" s="1"/>
  <c r="F74" i="5" s="1"/>
  <c r="F73" i="5" s="1"/>
  <c r="F72" i="5" s="1"/>
  <c r="F71" i="5" s="1"/>
  <c r="F70" i="5" s="1"/>
  <c r="F69" i="5" s="1"/>
  <c r="F68" i="5" s="1"/>
  <c r="F67" i="5" s="1"/>
  <c r="F66" i="5" s="1"/>
  <c r="F65" i="5" s="1"/>
  <c r="F64" i="5" s="1"/>
  <c r="F63" i="5" s="1"/>
  <c r="F62" i="5" s="1"/>
  <c r="F61" i="5" s="1"/>
  <c r="F60" i="5" s="1"/>
  <c r="F59" i="5" s="1"/>
  <c r="F58" i="5" s="1"/>
  <c r="F57" i="5" s="1"/>
  <c r="F56" i="5" s="1"/>
  <c r="F55" i="5" s="1"/>
  <c r="F54" i="5" s="1"/>
  <c r="F53" i="5" s="1"/>
  <c r="F52" i="5" s="1"/>
  <c r="F51" i="5" s="1"/>
  <c r="F50" i="5" s="1"/>
  <c r="F49" i="5" s="1"/>
  <c r="F48" i="5" s="1"/>
  <c r="F47" i="5" s="1"/>
  <c r="F46" i="5" s="1"/>
  <c r="F45" i="5" s="1"/>
  <c r="F44" i="5" s="1"/>
  <c r="F43" i="5" s="1"/>
  <c r="F42" i="5" s="1"/>
  <c r="F41" i="5" s="1"/>
  <c r="F40" i="5" s="1"/>
  <c r="F39" i="5" s="1"/>
  <c r="F38" i="5" s="1"/>
  <c r="F37" i="5" s="1"/>
  <c r="F36" i="5" s="1"/>
  <c r="F35" i="5" s="1"/>
  <c r="F34" i="5" s="1"/>
  <c r="F33" i="5" s="1"/>
  <c r="F32" i="5" s="1"/>
  <c r="F31" i="5" s="1"/>
  <c r="F30" i="5" s="1"/>
  <c r="F25" i="5"/>
  <c r="F24" i="5" s="1"/>
  <c r="F23" i="5" s="1"/>
  <c r="F22" i="5" s="1"/>
  <c r="F21" i="5" s="1"/>
  <c r="F20" i="5" s="1"/>
  <c r="F19" i="5" s="1"/>
  <c r="F18" i="5" s="1"/>
  <c r="F17" i="5" s="1"/>
  <c r="F16" i="5" s="1"/>
  <c r="F15" i="5" s="1"/>
  <c r="F14" i="5" s="1"/>
  <c r="F13" i="5" s="1"/>
  <c r="F12" i="5" s="1"/>
  <c r="F11" i="5" s="1"/>
  <c r="F10" i="5" s="1"/>
  <c r="F9" i="5" s="1"/>
  <c r="F8" i="5" s="1"/>
  <c r="F7" i="5" s="1"/>
  <c r="F6" i="5" s="1"/>
  <c r="E139" i="15"/>
  <c r="D139" i="15"/>
  <c r="E123" i="14"/>
  <c r="D123" i="14"/>
  <c r="E30" i="13"/>
  <c r="D30" i="13"/>
  <c r="K84" i="12"/>
  <c r="W83" i="12"/>
  <c r="X82" i="12"/>
  <c r="N79" i="12"/>
  <c r="N87" i="12" s="1"/>
  <c r="N44" i="1" s="1"/>
  <c r="W77" i="12"/>
  <c r="U77" i="12"/>
  <c r="U76" i="12"/>
  <c r="W75" i="12"/>
  <c r="M74" i="12"/>
  <c r="M73" i="12"/>
  <c r="U72" i="12"/>
  <c r="I71" i="12"/>
  <c r="U70" i="12"/>
  <c r="W69" i="12"/>
  <c r="U68" i="12"/>
  <c r="W67" i="12"/>
  <c r="W66" i="12"/>
  <c r="U66" i="12"/>
  <c r="Z63" i="12"/>
  <c r="Z79" i="12" s="1"/>
  <c r="Z87" i="12" s="1"/>
  <c r="N68" i="1" s="1"/>
  <c r="U63" i="12"/>
  <c r="U79" i="12" s="1"/>
  <c r="U87" i="12" s="1"/>
  <c r="N56" i="1" s="1"/>
  <c r="R63" i="12"/>
  <c r="R79" i="12" s="1"/>
  <c r="R87" i="12" s="1"/>
  <c r="N51" i="1" s="1"/>
  <c r="N63" i="12"/>
  <c r="K63" i="12"/>
  <c r="K79" i="12" s="1"/>
  <c r="K87" i="12" s="1"/>
  <c r="J63" i="12"/>
  <c r="J79" i="12" s="1"/>
  <c r="J87" i="12" s="1"/>
  <c r="H63" i="12"/>
  <c r="H79" i="12" s="1"/>
  <c r="H87" i="12" s="1"/>
  <c r="N32" i="1" s="1"/>
  <c r="D63" i="12"/>
  <c r="I62" i="12"/>
  <c r="X61" i="12"/>
  <c r="X60" i="12"/>
  <c r="Y59" i="12"/>
  <c r="Y63" i="12" s="1"/>
  <c r="Y79" i="12" s="1"/>
  <c r="Y87" i="12" s="1"/>
  <c r="N65" i="1" s="1"/>
  <c r="W58" i="12"/>
  <c r="W63" i="12" s="1"/>
  <c r="W79" i="12" s="1"/>
  <c r="W87" i="12" s="1"/>
  <c r="N58" i="1" s="1"/>
  <c r="O57" i="12"/>
  <c r="F56" i="12"/>
  <c r="X55" i="12"/>
  <c r="K54" i="12"/>
  <c r="I52" i="12"/>
  <c r="M51" i="12"/>
  <c r="Z50" i="12"/>
  <c r="I49" i="12"/>
  <c r="X48" i="12"/>
  <c r="G47" i="12"/>
  <c r="G63" i="12" s="1"/>
  <c r="G79" i="12" s="1"/>
  <c r="G87" i="12" s="1"/>
  <c r="N31" i="1" s="1"/>
  <c r="M46" i="12"/>
  <c r="M63" i="12" s="1"/>
  <c r="M79" i="12" s="1"/>
  <c r="M87" i="12" s="1"/>
  <c r="N42" i="1" s="1"/>
  <c r="O45" i="12"/>
  <c r="I44" i="12"/>
  <c r="X43" i="12"/>
  <c r="O42" i="12"/>
  <c r="O41" i="12"/>
  <c r="O40" i="12"/>
  <c r="O39" i="12"/>
  <c r="O38" i="12"/>
  <c r="O63" i="12" s="1"/>
  <c r="O79" i="12" s="1"/>
  <c r="O87" i="12" s="1"/>
  <c r="X37" i="12"/>
  <c r="X36" i="12"/>
  <c r="L35" i="12"/>
  <c r="L63" i="12" s="1"/>
  <c r="L79" i="12" s="1"/>
  <c r="L87" i="12" s="1"/>
  <c r="N41" i="1" s="1"/>
  <c r="AA34" i="12"/>
  <c r="L33" i="12"/>
  <c r="I32" i="12"/>
  <c r="X31" i="12"/>
  <c r="X30" i="12"/>
  <c r="X29" i="12"/>
  <c r="P28" i="12"/>
  <c r="Q26" i="12"/>
  <c r="P25" i="12"/>
  <c r="I23" i="12"/>
  <c r="I63" i="12" s="1"/>
  <c r="I79" i="12" s="1"/>
  <c r="I87" i="12" s="1"/>
  <c r="N35" i="1" s="1"/>
  <c r="X22" i="12"/>
  <c r="Q21" i="12"/>
  <c r="P20" i="12"/>
  <c r="P63" i="12" s="1"/>
  <c r="P79" i="12" s="1"/>
  <c r="P87" i="12" s="1"/>
  <c r="N48" i="1" s="1"/>
  <c r="Q19" i="12"/>
  <c r="Q63" i="12" s="1"/>
  <c r="Q79" i="12" s="1"/>
  <c r="Q87" i="12" s="1"/>
  <c r="X18" i="12"/>
  <c r="X63" i="12" s="1"/>
  <c r="X79" i="12" s="1"/>
  <c r="X87" i="12" s="1"/>
  <c r="AA17" i="12"/>
  <c r="AA63" i="12" s="1"/>
  <c r="AA79" i="12" s="1"/>
  <c r="AA87" i="12" s="1"/>
  <c r="R16" i="12"/>
  <c r="T15" i="12"/>
  <c r="T63" i="12" s="1"/>
  <c r="T79" i="12" s="1"/>
  <c r="T87" i="12" s="1"/>
  <c r="N53" i="1" s="1"/>
  <c r="T14" i="12"/>
  <c r="X13" i="12"/>
  <c r="V12" i="12"/>
  <c r="V63" i="12" s="1"/>
  <c r="V79" i="12" s="1"/>
  <c r="V87" i="12" s="1"/>
  <c r="N57" i="1" s="1"/>
  <c r="R11" i="12"/>
  <c r="S10" i="12"/>
  <c r="S9" i="12"/>
  <c r="S63" i="12" s="1"/>
  <c r="S79" i="12" s="1"/>
  <c r="S87" i="12" s="1"/>
  <c r="N50" i="1" s="1"/>
  <c r="F6" i="12"/>
  <c r="F5" i="12"/>
  <c r="F63" i="12" s="1"/>
  <c r="P93" i="11"/>
  <c r="F90" i="11"/>
  <c r="R87" i="11"/>
  <c r="R93" i="11" s="1"/>
  <c r="N22" i="1" s="1"/>
  <c r="P87" i="11"/>
  <c r="N85" i="11"/>
  <c r="N84" i="11"/>
  <c r="N83" i="11"/>
  <c r="O82" i="11"/>
  <c r="O81" i="11"/>
  <c r="N80" i="11"/>
  <c r="K79" i="11"/>
  <c r="N77" i="11"/>
  <c r="J76" i="11"/>
  <c r="N75" i="11"/>
  <c r="N74" i="11"/>
  <c r="S71" i="11"/>
  <c r="S87" i="11" s="1"/>
  <c r="S93" i="11" s="1"/>
  <c r="N25" i="1" s="1"/>
  <c r="R71" i="11"/>
  <c r="P71" i="11"/>
  <c r="O71" i="11"/>
  <c r="O87" i="11" s="1"/>
  <c r="O93" i="11" s="1"/>
  <c r="N16" i="1" s="1"/>
  <c r="G71" i="11"/>
  <c r="G87" i="11" s="1"/>
  <c r="G93" i="11" s="1"/>
  <c r="D71" i="11"/>
  <c r="H70" i="11"/>
  <c r="H69" i="11"/>
  <c r="H68" i="11"/>
  <c r="H67" i="11"/>
  <c r="H66" i="11"/>
  <c r="K65" i="11"/>
  <c r="M64" i="11"/>
  <c r="N63" i="11"/>
  <c r="T62" i="11"/>
  <c r="T95" i="11" s="1"/>
  <c r="I61" i="11"/>
  <c r="H60" i="11"/>
  <c r="H59" i="11"/>
  <c r="N58" i="11"/>
  <c r="H57" i="11"/>
  <c r="N55" i="11"/>
  <c r="O54" i="11"/>
  <c r="H53" i="11"/>
  <c r="O51" i="11"/>
  <c r="O50" i="11"/>
  <c r="T49" i="11"/>
  <c r="H48" i="11"/>
  <c r="T47" i="11"/>
  <c r="T94" i="11" s="1"/>
  <c r="K46" i="11"/>
  <c r="L45" i="11"/>
  <c r="L44" i="11"/>
  <c r="K43" i="11"/>
  <c r="H42" i="11"/>
  <c r="N41" i="11"/>
  <c r="T40" i="11"/>
  <c r="K39" i="11"/>
  <c r="H38" i="11"/>
  <c r="M37" i="11"/>
  <c r="M71" i="11" s="1"/>
  <c r="M87" i="11" s="1"/>
  <c r="M93" i="11" s="1"/>
  <c r="N14" i="1" s="1"/>
  <c r="K36" i="11"/>
  <c r="N35" i="11"/>
  <c r="I33" i="11"/>
  <c r="I71" i="11" s="1"/>
  <c r="I87" i="11" s="1"/>
  <c r="I93" i="11" s="1"/>
  <c r="K32" i="11"/>
  <c r="G31" i="11"/>
  <c r="L30" i="11"/>
  <c r="L71" i="11" s="1"/>
  <c r="L87" i="11" s="1"/>
  <c r="L93" i="11" s="1"/>
  <c r="J29" i="11"/>
  <c r="J71" i="11" s="1"/>
  <c r="J87" i="11" s="1"/>
  <c r="J93" i="11" s="1"/>
  <c r="O7" i="1" s="1"/>
  <c r="K28" i="11"/>
  <c r="N27" i="11"/>
  <c r="J26" i="11"/>
  <c r="H25" i="11"/>
  <c r="H71" i="11" s="1"/>
  <c r="H87" i="11" s="1"/>
  <c r="H93" i="11" s="1"/>
  <c r="G24" i="11"/>
  <c r="L23" i="11"/>
  <c r="K22" i="11"/>
  <c r="K71" i="11" s="1"/>
  <c r="K87" i="11" s="1"/>
  <c r="K93" i="11" s="1"/>
  <c r="O8" i="1" s="1"/>
  <c r="N21" i="11"/>
  <c r="N71" i="11" s="1"/>
  <c r="N87" i="11" s="1"/>
  <c r="N93" i="11" s="1"/>
  <c r="N15" i="1" s="1"/>
  <c r="F18" i="11"/>
  <c r="G17" i="11"/>
  <c r="F16" i="11"/>
  <c r="F15" i="11"/>
  <c r="F14" i="11"/>
  <c r="F13" i="11"/>
  <c r="F12" i="11"/>
  <c r="F11" i="11"/>
  <c r="F10" i="11"/>
  <c r="F9" i="11"/>
  <c r="F8" i="11"/>
  <c r="F7" i="11"/>
  <c r="F71" i="11" s="1"/>
  <c r="Q6" i="11"/>
  <c r="Q71" i="11" s="1"/>
  <c r="Q87" i="11" s="1"/>
  <c r="Q93" i="11" s="1"/>
  <c r="N20" i="1" s="1"/>
  <c r="D72" i="10"/>
  <c r="AB69" i="10"/>
  <c r="AB75" i="10" s="1"/>
  <c r="L64" i="1" s="1"/>
  <c r="I68" i="10"/>
  <c r="D68" i="10"/>
  <c r="V67" i="10"/>
  <c r="V66" i="10"/>
  <c r="D66" i="10"/>
  <c r="X65" i="10"/>
  <c r="V65" i="10"/>
  <c r="D65" i="10"/>
  <c r="D64" i="10"/>
  <c r="G64" i="10" s="1"/>
  <c r="AE61" i="10"/>
  <c r="AE69" i="10" s="1"/>
  <c r="AE75" i="10" s="1"/>
  <c r="L70" i="1" s="1"/>
  <c r="AC61" i="10"/>
  <c r="AC69" i="10" s="1"/>
  <c r="AC75" i="10" s="1"/>
  <c r="L65" i="1" s="1"/>
  <c r="AB61" i="10"/>
  <c r="U61" i="10"/>
  <c r="U69" i="10" s="1"/>
  <c r="U75" i="10" s="1"/>
  <c r="L53" i="1" s="1"/>
  <c r="P61" i="10"/>
  <c r="P69" i="10" s="1"/>
  <c r="P75" i="10" s="1"/>
  <c r="L45" i="1" s="1"/>
  <c r="M61" i="10"/>
  <c r="M69" i="10" s="1"/>
  <c r="M75" i="10" s="1"/>
  <c r="L41" i="1" s="1"/>
  <c r="J61" i="10"/>
  <c r="J69" i="10" s="1"/>
  <c r="J75" i="10" s="1"/>
  <c r="H61" i="10"/>
  <c r="H69" i="10" s="1"/>
  <c r="H75" i="10" s="1"/>
  <c r="L32" i="1" s="1"/>
  <c r="D61" i="10"/>
  <c r="AD60" i="10"/>
  <c r="X59" i="10"/>
  <c r="X61" i="10" s="1"/>
  <c r="X69" i="10" s="1"/>
  <c r="X75" i="10" s="1"/>
  <c r="L58" i="1" s="1"/>
  <c r="Z58" i="10"/>
  <c r="AD57" i="10"/>
  <c r="AC56" i="10"/>
  <c r="F55" i="10"/>
  <c r="X54" i="10"/>
  <c r="V54" i="10"/>
  <c r="S54" i="10"/>
  <c r="J54" i="10"/>
  <c r="G54" i="10"/>
  <c r="Z52" i="10"/>
  <c r="AD51" i="10"/>
  <c r="AD61" i="10" s="1"/>
  <c r="AD69" i="10" s="1"/>
  <c r="AD75" i="10" s="1"/>
  <c r="L68" i="1" s="1"/>
  <c r="N50" i="10"/>
  <c r="N48" i="10"/>
  <c r="N47" i="10"/>
  <c r="I46" i="10"/>
  <c r="Z45" i="10"/>
  <c r="Z44" i="10"/>
  <c r="P43" i="10"/>
  <c r="F42" i="10"/>
  <c r="V41" i="10"/>
  <c r="J41" i="10"/>
  <c r="L40" i="10"/>
  <c r="Z39" i="10"/>
  <c r="N38" i="10"/>
  <c r="M37" i="10"/>
  <c r="M36" i="10"/>
  <c r="J36" i="10"/>
  <c r="Z35" i="10"/>
  <c r="I34" i="10"/>
  <c r="V33" i="10"/>
  <c r="V61" i="10" s="1"/>
  <c r="V69" i="10" s="1"/>
  <c r="V75" i="10" s="1"/>
  <c r="L56" i="1" s="1"/>
  <c r="Z32" i="10"/>
  <c r="AA31" i="10"/>
  <c r="AA61" i="10" s="1"/>
  <c r="AA69" i="10" s="1"/>
  <c r="AA75" i="10" s="1"/>
  <c r="L63" i="1" s="1"/>
  <c r="W31" i="10"/>
  <c r="O31" i="10"/>
  <c r="O61" i="10" s="1"/>
  <c r="O69" i="10" s="1"/>
  <c r="O75" i="10" s="1"/>
  <c r="L44" i="1" s="1"/>
  <c r="G31" i="10"/>
  <c r="R30" i="10"/>
  <c r="Z29" i="10"/>
  <c r="Z28" i="10"/>
  <c r="Z61" i="10" s="1"/>
  <c r="Z69" i="10" s="1"/>
  <c r="Z75" i="10" s="1"/>
  <c r="L60" i="1" s="1"/>
  <c r="Q27" i="10"/>
  <c r="L26" i="10"/>
  <c r="R25" i="10"/>
  <c r="R61" i="10" s="1"/>
  <c r="R69" i="10" s="1"/>
  <c r="R75" i="10" s="1"/>
  <c r="L49" i="1" s="1"/>
  <c r="Q24" i="10"/>
  <c r="Q61" i="10" s="1"/>
  <c r="Q69" i="10" s="1"/>
  <c r="Q75" i="10" s="1"/>
  <c r="L48" i="1" s="1"/>
  <c r="I23" i="10"/>
  <c r="I61" i="10" s="1"/>
  <c r="I69" i="10" s="1"/>
  <c r="I75" i="10" s="1"/>
  <c r="Z22" i="10"/>
  <c r="Z21" i="10"/>
  <c r="K20" i="10"/>
  <c r="K61" i="10" s="1"/>
  <c r="K69" i="10" s="1"/>
  <c r="K75" i="10" s="1"/>
  <c r="L43" i="1" s="1"/>
  <c r="U19" i="10"/>
  <c r="S18" i="10"/>
  <c r="S61" i="10" s="1"/>
  <c r="S69" i="10" s="1"/>
  <c r="S75" i="10" s="1"/>
  <c r="L51" i="1" s="1"/>
  <c r="Y17" i="10"/>
  <c r="Y61" i="10" s="1"/>
  <c r="Y69" i="10" s="1"/>
  <c r="Y75" i="10" s="1"/>
  <c r="L59" i="1" s="1"/>
  <c r="N17" i="10"/>
  <c r="N61" i="10" s="1"/>
  <c r="N69" i="10" s="1"/>
  <c r="N75" i="10" s="1"/>
  <c r="L42" i="1" s="1"/>
  <c r="L17" i="10"/>
  <c r="L61" i="10" s="1"/>
  <c r="L69" i="10" s="1"/>
  <c r="L75" i="10" s="1"/>
  <c r="L40" i="1" s="1"/>
  <c r="Z16" i="10"/>
  <c r="Z15" i="10"/>
  <c r="T14" i="10"/>
  <c r="S13" i="10"/>
  <c r="T12" i="10"/>
  <c r="T61" i="10" s="1"/>
  <c r="T69" i="10" s="1"/>
  <c r="T75" i="10" s="1"/>
  <c r="W11" i="10"/>
  <c r="W61" i="10" s="1"/>
  <c r="W69" i="10" s="1"/>
  <c r="W75" i="10" s="1"/>
  <c r="L57" i="1" s="1"/>
  <c r="T11" i="10"/>
  <c r="R11" i="10"/>
  <c r="K11" i="10"/>
  <c r="G11" i="10"/>
  <c r="G61" i="10" s="1"/>
  <c r="G69" i="10" s="1"/>
  <c r="G75" i="10" s="1"/>
  <c r="F9" i="10"/>
  <c r="F8" i="10"/>
  <c r="F7" i="10"/>
  <c r="F6" i="10"/>
  <c r="F5" i="10"/>
  <c r="F61" i="10" s="1"/>
  <c r="H102" i="9"/>
  <c r="H101" i="9"/>
  <c r="R93" i="9"/>
  <c r="R98" i="9" s="1"/>
  <c r="L22" i="1" s="1"/>
  <c r="P93" i="9"/>
  <c r="P98" i="9" s="1"/>
  <c r="D91" i="9"/>
  <c r="K91" i="9" s="1"/>
  <c r="D90" i="9"/>
  <c r="N89" i="9"/>
  <c r="D89" i="9"/>
  <c r="N88" i="9"/>
  <c r="D88" i="9" s="1"/>
  <c r="D93" i="9" s="1"/>
  <c r="H86" i="9"/>
  <c r="T83" i="9"/>
  <c r="T93" i="9" s="1"/>
  <c r="T98" i="9" s="1"/>
  <c r="S83" i="9"/>
  <c r="S93" i="9" s="1"/>
  <c r="S98" i="9" s="1"/>
  <c r="R83" i="9"/>
  <c r="Q83" i="9"/>
  <c r="Q93" i="9" s="1"/>
  <c r="Q98" i="9" s="1"/>
  <c r="L20" i="1" s="1"/>
  <c r="P83" i="9"/>
  <c r="L83" i="9"/>
  <c r="L93" i="9" s="1"/>
  <c r="L98" i="9" s="1"/>
  <c r="M11" i="1" s="1"/>
  <c r="D83" i="9"/>
  <c r="G81" i="9"/>
  <c r="H80" i="9"/>
  <c r="H79" i="9"/>
  <c r="H78" i="9"/>
  <c r="H77" i="9"/>
  <c r="M76" i="9"/>
  <c r="H75" i="9"/>
  <c r="H103" i="9" s="1"/>
  <c r="H74" i="9"/>
  <c r="I73" i="9"/>
  <c r="I83" i="9" s="1"/>
  <c r="I93" i="9" s="1"/>
  <c r="I98" i="9" s="1"/>
  <c r="M6" i="1" s="1"/>
  <c r="L72" i="9"/>
  <c r="L71" i="9"/>
  <c r="H70" i="9"/>
  <c r="H69" i="9"/>
  <c r="N68" i="9"/>
  <c r="H67" i="9"/>
  <c r="H66" i="9"/>
  <c r="H65" i="9"/>
  <c r="O64" i="9"/>
  <c r="O63" i="9"/>
  <c r="J62" i="9"/>
  <c r="N61" i="9"/>
  <c r="O60" i="9"/>
  <c r="O83" i="9" s="1"/>
  <c r="O93" i="9" s="1"/>
  <c r="O98" i="9" s="1"/>
  <c r="L16" i="1" s="1"/>
  <c r="K59" i="9"/>
  <c r="K58" i="9"/>
  <c r="K57" i="9"/>
  <c r="H56" i="9"/>
  <c r="K55" i="9"/>
  <c r="H54" i="9"/>
  <c r="H53" i="9"/>
  <c r="N52" i="9"/>
  <c r="K51" i="9"/>
  <c r="L50" i="9"/>
  <c r="M49" i="9"/>
  <c r="M83" i="9" s="1"/>
  <c r="M93" i="9" s="1"/>
  <c r="M98" i="9" s="1"/>
  <c r="K48" i="9"/>
  <c r="H47" i="9"/>
  <c r="H46" i="9"/>
  <c r="H45" i="9"/>
  <c r="H44" i="9"/>
  <c r="H43" i="9"/>
  <c r="N42" i="9"/>
  <c r="K41" i="9"/>
  <c r="G40" i="9"/>
  <c r="H39" i="9"/>
  <c r="K38" i="9"/>
  <c r="N37" i="9"/>
  <c r="I36" i="9"/>
  <c r="K35" i="9"/>
  <c r="H34" i="9"/>
  <c r="J33" i="9"/>
  <c r="J83" i="9" s="1"/>
  <c r="J93" i="9" s="1"/>
  <c r="J98" i="9" s="1"/>
  <c r="M7" i="1" s="1"/>
  <c r="J32" i="9"/>
  <c r="N31" i="9"/>
  <c r="G30" i="9"/>
  <c r="G29" i="9"/>
  <c r="Q28" i="9"/>
  <c r="G27" i="9"/>
  <c r="K26" i="9"/>
  <c r="N25" i="9"/>
  <c r="N83" i="9" s="1"/>
  <c r="N93" i="9" s="1"/>
  <c r="N98" i="9" s="1"/>
  <c r="H24" i="9"/>
  <c r="H83" i="9" s="1"/>
  <c r="H93" i="9" s="1"/>
  <c r="H98" i="9" s="1"/>
  <c r="M5" i="1" s="1"/>
  <c r="G23" i="9"/>
  <c r="K22" i="9"/>
  <c r="K83" i="9" s="1"/>
  <c r="K93" i="9" s="1"/>
  <c r="K98" i="9" s="1"/>
  <c r="F19" i="9"/>
  <c r="G18" i="9"/>
  <c r="F17" i="9"/>
  <c r="F16" i="9"/>
  <c r="F15" i="9"/>
  <c r="G14" i="9"/>
  <c r="G83" i="9" s="1"/>
  <c r="G93" i="9" s="1"/>
  <c r="G98" i="9" s="1"/>
  <c r="F13" i="9"/>
  <c r="F12" i="9"/>
  <c r="F11" i="9"/>
  <c r="F10" i="9"/>
  <c r="F9" i="9"/>
  <c r="F8" i="9"/>
  <c r="F7" i="9"/>
  <c r="F6" i="9"/>
  <c r="F83" i="9" s="1"/>
  <c r="AG54" i="8"/>
  <c r="AB54" i="8"/>
  <c r="T54" i="8"/>
  <c r="J51" i="1" s="1"/>
  <c r="S54" i="8"/>
  <c r="K54" i="8"/>
  <c r="D54" i="8"/>
  <c r="G52" i="8"/>
  <c r="W50" i="8"/>
  <c r="H49" i="8"/>
  <c r="W48" i="8"/>
  <c r="I47" i="8"/>
  <c r="X46" i="8"/>
  <c r="G46" i="8"/>
  <c r="AG45" i="8"/>
  <c r="AD45" i="8"/>
  <c r="AD54" i="8" s="1"/>
  <c r="J65" i="1" s="1"/>
  <c r="AC45" i="8"/>
  <c r="AC54" i="8" s="1"/>
  <c r="AB45" i="8"/>
  <c r="Z45" i="8"/>
  <c r="Z54" i="8" s="1"/>
  <c r="W45" i="8"/>
  <c r="W54" i="8" s="1"/>
  <c r="J56" i="1" s="1"/>
  <c r="V45" i="8"/>
  <c r="V54" i="8" s="1"/>
  <c r="J53" i="1" s="1"/>
  <c r="U45" i="8"/>
  <c r="U54" i="8" s="1"/>
  <c r="J50" i="1" s="1"/>
  <c r="T45" i="8"/>
  <c r="S45" i="8"/>
  <c r="R45" i="8"/>
  <c r="R54" i="8" s="1"/>
  <c r="J48" i="1" s="1"/>
  <c r="P45" i="8"/>
  <c r="P54" i="8" s="1"/>
  <c r="J45" i="1" s="1"/>
  <c r="O45" i="8"/>
  <c r="O54" i="8" s="1"/>
  <c r="J44" i="1" s="1"/>
  <c r="N45" i="8"/>
  <c r="N54" i="8" s="1"/>
  <c r="J42" i="1" s="1"/>
  <c r="M45" i="8"/>
  <c r="M54" i="8" s="1"/>
  <c r="J41" i="1" s="1"/>
  <c r="K45" i="8"/>
  <c r="J45" i="8"/>
  <c r="J54" i="8" s="1"/>
  <c r="H45" i="8"/>
  <c r="H54" i="8" s="1"/>
  <c r="J32" i="1" s="1"/>
  <c r="D45" i="8"/>
  <c r="I44" i="8"/>
  <c r="AA43" i="8"/>
  <c r="AE42" i="8"/>
  <c r="AE41" i="8"/>
  <c r="AE45" i="8" s="1"/>
  <c r="AE54" i="8" s="1"/>
  <c r="J68" i="1" s="1"/>
  <c r="AA40" i="8"/>
  <c r="L39" i="8"/>
  <c r="L45" i="8" s="1"/>
  <c r="L54" i="8" s="1"/>
  <c r="J40" i="1" s="1"/>
  <c r="I38" i="8"/>
  <c r="AA37" i="8"/>
  <c r="I35" i="8"/>
  <c r="AA34" i="8"/>
  <c r="AA33" i="8"/>
  <c r="AA32" i="8"/>
  <c r="AF31" i="8"/>
  <c r="I30" i="8"/>
  <c r="AA29" i="8"/>
  <c r="AF28" i="8"/>
  <c r="X27" i="8"/>
  <c r="X45" i="8" s="1"/>
  <c r="X54" i="8" s="1"/>
  <c r="J57" i="1" s="1"/>
  <c r="AF26" i="8"/>
  <c r="AA25" i="8"/>
  <c r="Q24" i="8"/>
  <c r="Q45" i="8" s="1"/>
  <c r="Q54" i="8" s="1"/>
  <c r="J47" i="1" s="1"/>
  <c r="AF23" i="8"/>
  <c r="AA22" i="8"/>
  <c r="AF21" i="8"/>
  <c r="I20" i="8"/>
  <c r="AA19" i="8"/>
  <c r="I18" i="8"/>
  <c r="I45" i="8" s="1"/>
  <c r="I54" i="8" s="1"/>
  <c r="J35" i="1" s="1"/>
  <c r="AA17" i="8"/>
  <c r="G16" i="8"/>
  <c r="G45" i="8" s="1"/>
  <c r="AF15" i="8"/>
  <c r="W14" i="8"/>
  <c r="AE13" i="8"/>
  <c r="X12" i="8"/>
  <c r="AA11" i="8"/>
  <c r="AA45" i="8" s="1"/>
  <c r="AA54" i="8" s="1"/>
  <c r="J60" i="1" s="1"/>
  <c r="Y10" i="8"/>
  <c r="Y45" i="8" s="1"/>
  <c r="Y54" i="8" s="1"/>
  <c r="J58" i="1" s="1"/>
  <c r="AF9" i="8"/>
  <c r="AF54" i="8" s="1"/>
  <c r="F6" i="8"/>
  <c r="F45" i="8" s="1"/>
  <c r="Q59" i="6"/>
  <c r="N57" i="6"/>
  <c r="K55" i="6"/>
  <c r="D54" i="6"/>
  <c r="U50" i="6"/>
  <c r="T50" i="6"/>
  <c r="T59" i="6" s="1"/>
  <c r="S50" i="6"/>
  <c r="S59" i="6" s="1"/>
  <c r="R50" i="6"/>
  <c r="R59" i="6" s="1"/>
  <c r="J22" i="1" s="1"/>
  <c r="K22" i="1" s="1"/>
  <c r="Q50" i="6"/>
  <c r="P50" i="6"/>
  <c r="P59" i="6" s="1"/>
  <c r="O50" i="6"/>
  <c r="M50" i="6"/>
  <c r="M59" i="6" s="1"/>
  <c r="K50" i="6"/>
  <c r="K59" i="6" s="1"/>
  <c r="K8" i="1" s="1"/>
  <c r="D50" i="6"/>
  <c r="G49" i="6"/>
  <c r="G50" i="6" s="1"/>
  <c r="G59" i="6" s="1"/>
  <c r="H48" i="6"/>
  <c r="I47" i="6"/>
  <c r="K46" i="6"/>
  <c r="H45" i="6"/>
  <c r="N44" i="6"/>
  <c r="K43" i="6"/>
  <c r="H42" i="6"/>
  <c r="N41" i="6"/>
  <c r="K40" i="6"/>
  <c r="H39" i="6"/>
  <c r="I38" i="6"/>
  <c r="N37" i="6"/>
  <c r="H36" i="6"/>
  <c r="H35" i="6"/>
  <c r="N34" i="6"/>
  <c r="L33" i="6"/>
  <c r="L32" i="6"/>
  <c r="N31" i="6"/>
  <c r="K30" i="6"/>
  <c r="T29" i="6"/>
  <c r="L28" i="6"/>
  <c r="L50" i="6" s="1"/>
  <c r="L59" i="6" s="1"/>
  <c r="I27" i="6"/>
  <c r="I50" i="6" s="1"/>
  <c r="I59" i="6" s="1"/>
  <c r="K6" i="1" s="1"/>
  <c r="J26" i="6"/>
  <c r="J50" i="6" s="1"/>
  <c r="J59" i="6" s="1"/>
  <c r="N25" i="6"/>
  <c r="N50" i="6" s="1"/>
  <c r="K24" i="6"/>
  <c r="H22" i="6"/>
  <c r="H50" i="6" s="1"/>
  <c r="H59" i="6" s="1"/>
  <c r="K21" i="6"/>
  <c r="F17" i="6"/>
  <c r="F16" i="6"/>
  <c r="F15" i="6"/>
  <c r="F14" i="6"/>
  <c r="F13" i="6"/>
  <c r="F12" i="6"/>
  <c r="F11" i="6"/>
  <c r="F10" i="6"/>
  <c r="F9" i="6"/>
  <c r="F8" i="6"/>
  <c r="F7" i="6"/>
  <c r="F6" i="6"/>
  <c r="F50" i="6" s="1"/>
  <c r="S81" i="1"/>
  <c r="O81" i="1"/>
  <c r="Q78" i="1"/>
  <c r="Q81" i="1" s="1"/>
  <c r="M78" i="1"/>
  <c r="M81" i="1" s="1"/>
  <c r="K78" i="1"/>
  <c r="K81" i="1" s="1"/>
  <c r="S71" i="1"/>
  <c r="N70" i="1"/>
  <c r="P65" i="1"/>
  <c r="Q71" i="1" s="1"/>
  <c r="N61" i="1"/>
  <c r="P53" i="1"/>
  <c r="Q53" i="1" s="1"/>
  <c r="L50" i="1"/>
  <c r="J49" i="1"/>
  <c r="A46" i="1"/>
  <c r="R45" i="1"/>
  <c r="S53" i="1" s="1"/>
  <c r="J43" i="1"/>
  <c r="N40" i="1"/>
  <c r="S35" i="1"/>
  <c r="L35" i="1"/>
  <c r="N33" i="1"/>
  <c r="L33" i="1"/>
  <c r="J33" i="1"/>
  <c r="P32" i="1"/>
  <c r="Q35" i="1" s="1"/>
  <c r="S26" i="1"/>
  <c r="Q26" i="1"/>
  <c r="S22" i="1"/>
  <c r="P22" i="1"/>
  <c r="Q22" i="1" s="1"/>
  <c r="S12" i="1"/>
  <c r="Q12" i="1"/>
  <c r="O11" i="1"/>
  <c r="K7" i="1"/>
  <c r="I5" i="1" l="1"/>
  <c r="G72" i="2"/>
  <c r="L72" i="2"/>
  <c r="I8" i="1" s="1"/>
  <c r="X75" i="4"/>
  <c r="M22" i="1"/>
  <c r="S28" i="1"/>
  <c r="M71" i="1"/>
  <c r="O22" i="1"/>
  <c r="Q73" i="1"/>
  <c r="S73" i="1"/>
  <c r="M12" i="1"/>
  <c r="Q28" i="1"/>
  <c r="K12" i="1"/>
  <c r="AA75" i="4"/>
  <c r="Q75" i="4"/>
  <c r="E62" i="10"/>
  <c r="H104" i="9"/>
  <c r="N60" i="1"/>
  <c r="O71" i="1" s="1"/>
  <c r="N45" i="1"/>
  <c r="O53" i="1" s="1"/>
  <c r="K53" i="1"/>
  <c r="M53" i="1"/>
  <c r="O35" i="1"/>
  <c r="D62" i="10"/>
  <c r="D69" i="10" s="1"/>
  <c r="F69" i="10"/>
  <c r="F93" i="9"/>
  <c r="D84" i="9"/>
  <c r="E84" i="9" s="1"/>
  <c r="J59" i="1"/>
  <c r="K71" i="1" s="1"/>
  <c r="F87" i="11"/>
  <c r="O5" i="1"/>
  <c r="H95" i="11"/>
  <c r="O6" i="1"/>
  <c r="I95" i="11"/>
  <c r="D64" i="12"/>
  <c r="D79" i="12" s="1"/>
  <c r="F79" i="12"/>
  <c r="C45" i="8"/>
  <c r="F59" i="6"/>
  <c r="C50" i="6"/>
  <c r="E45" i="8"/>
  <c r="F54" i="8"/>
  <c r="E54" i="8" s="1"/>
  <c r="C54" i="8" s="1"/>
  <c r="D56" i="8"/>
  <c r="K35" i="1"/>
  <c r="L31" i="1"/>
  <c r="M35" i="1" s="1"/>
  <c r="F76" i="10"/>
  <c r="T71" i="11"/>
  <c r="T87" i="11" s="1"/>
  <c r="T93" i="11" s="1"/>
  <c r="I12" i="1" l="1"/>
  <c r="K73" i="1"/>
  <c r="I26" i="1"/>
  <c r="D74" i="2"/>
  <c r="Q75" i="1"/>
  <c r="Q85" i="1" s="1"/>
  <c r="O12" i="1"/>
  <c r="O73" i="1"/>
  <c r="S75" i="1"/>
  <c r="S85" i="1" s="1"/>
  <c r="S86" i="1" s="1"/>
  <c r="Q84" i="1" s="1"/>
  <c r="M73" i="1"/>
  <c r="F93" i="11"/>
  <c r="D88" i="11"/>
  <c r="D93" i="11" s="1"/>
  <c r="E64" i="12"/>
  <c r="D80" i="12"/>
  <c r="D87" i="12" s="1"/>
  <c r="F87" i="12"/>
  <c r="D88" i="12" s="1"/>
  <c r="D72" i="11"/>
  <c r="F98" i="9"/>
  <c r="D94" i="9"/>
  <c r="J26" i="1"/>
  <c r="K26" i="1" s="1"/>
  <c r="F61" i="6"/>
  <c r="F75" i="10"/>
  <c r="D76" i="10" s="1"/>
  <c r="E76" i="10" s="1"/>
  <c r="D70" i="10"/>
  <c r="D75" i="10" s="1"/>
  <c r="I28" i="1" l="1"/>
  <c r="I75" i="1"/>
  <c r="I85" i="1" s="1"/>
  <c r="Q86" i="1"/>
  <c r="K28" i="1"/>
  <c r="K75" i="1" s="1"/>
  <c r="K85" i="1" s="1"/>
  <c r="D87" i="11"/>
  <c r="E72" i="11"/>
  <c r="E99" i="9"/>
  <c r="E98" i="9"/>
  <c r="L26" i="1"/>
  <c r="M26" i="1" s="1"/>
  <c r="M28" i="1" s="1"/>
  <c r="M75" i="1" s="1"/>
  <c r="M85" i="1" s="1"/>
  <c r="D94" i="11"/>
  <c r="E94" i="11" s="1"/>
  <c r="N26" i="1"/>
  <c r="O26" i="1" s="1"/>
  <c r="O28" i="1" s="1"/>
  <c r="O75" i="1" s="1"/>
  <c r="O85" i="1" s="1"/>
  <c r="O86" i="1" s="1"/>
  <c r="M84" i="1" s="1"/>
  <c r="D98" i="9"/>
  <c r="E100" i="9" s="1"/>
  <c r="E94" i="9"/>
  <c r="M86" i="1" l="1"/>
  <c r="K84" i="1" s="1"/>
  <c r="K86" i="1" s="1"/>
  <c r="I84" i="1" s="1"/>
  <c r="I86" i="1" s="1"/>
  <c r="G84" i="1" s="1"/>
  <c r="C87" i="1" s="1"/>
  <c r="I87" i="1" l="1"/>
  <c r="G87" i="1"/>
  <c r="K87" i="1"/>
</calcChain>
</file>

<file path=xl/sharedStrings.xml><?xml version="1.0" encoding="utf-8"?>
<sst xmlns="http://schemas.openxmlformats.org/spreadsheetml/2006/main" count="3603" uniqueCount="639">
  <si>
    <t>Receipts and Payments</t>
  </si>
  <si>
    <t>1 April 2021 to 31 March 2022</t>
  </si>
  <si>
    <t xml:space="preserve"> 1 April 2020 to 31 March 2021</t>
  </si>
  <si>
    <t>1 April 2019 to 31 March 2020</t>
  </si>
  <si>
    <t>1 April 2018 - 31 March 2019</t>
  </si>
  <si>
    <t>1 April 2017 - 31 March 2018</t>
  </si>
  <si>
    <t>1 April 2016 - 31 March 2017</t>
  </si>
  <si>
    <t>INCOME</t>
  </si>
  <si>
    <t>£</t>
  </si>
  <si>
    <t>Subscriptions</t>
  </si>
  <si>
    <t>Donations</t>
  </si>
  <si>
    <t>Sale of cards</t>
  </si>
  <si>
    <t>Equipment hire: gazebos etc</t>
  </si>
  <si>
    <t>Porch sales</t>
  </si>
  <si>
    <t>Pop up book stalls</t>
  </si>
  <si>
    <t>Filming</t>
  </si>
  <si>
    <t>Events</t>
  </si>
  <si>
    <t>OGSW</t>
  </si>
  <si>
    <t>-</t>
  </si>
  <si>
    <t>Christmas Carols</t>
  </si>
  <si>
    <t>Vicarage Christmas party</t>
  </si>
  <si>
    <t>Wine tasting</t>
  </si>
  <si>
    <t>Quiz</t>
  </si>
  <si>
    <t>Other</t>
  </si>
  <si>
    <t>Grant for music in the garden</t>
  </si>
  <si>
    <t>0</t>
  </si>
  <si>
    <t>Bank interest</t>
  </si>
  <si>
    <t>TOTAL INCOME</t>
  </si>
  <si>
    <t>EXPENSES</t>
  </si>
  <si>
    <t>Subscription</t>
  </si>
  <si>
    <t xml:space="preserve">Card </t>
  </si>
  <si>
    <t>Equipment</t>
  </si>
  <si>
    <t>Costs of events:</t>
  </si>
  <si>
    <t>Garden action days</t>
  </si>
  <si>
    <t>Antiques Show and Tell</t>
  </si>
  <si>
    <t>Quiz night</t>
  </si>
  <si>
    <t>Keep Christmas local</t>
  </si>
  <si>
    <t>Carols</t>
  </si>
  <si>
    <t>Pancake race</t>
  </si>
  <si>
    <t>Insurance</t>
  </si>
  <si>
    <t>Overheads</t>
  </si>
  <si>
    <t xml:space="preserve">PPS, phone </t>
  </si>
  <si>
    <t>e-letters and publications</t>
  </si>
  <si>
    <t xml:space="preserve">AGM and Committee meetings </t>
  </si>
  <si>
    <t>Meetings with Knight Frank and Trinity House</t>
  </si>
  <si>
    <t xml:space="preserve">Storage rental </t>
  </si>
  <si>
    <t>Repair to noticeboard</t>
  </si>
  <si>
    <t>Noise assessment</t>
  </si>
  <si>
    <t>Traffic</t>
  </si>
  <si>
    <t>Roebuck Action Group donation</t>
  </si>
  <si>
    <t>Legal</t>
  </si>
  <si>
    <t>Accounts</t>
  </si>
  <si>
    <t>Fees</t>
  </si>
  <si>
    <t>Website</t>
  </si>
  <si>
    <t>Electrical equipment</t>
  </si>
  <si>
    <t>Retirement present</t>
  </si>
  <si>
    <t>TOTAL EXPENSES</t>
  </si>
  <si>
    <t>SURPLUS/(DEFICIT)</t>
  </si>
  <si>
    <t>Bank reserve account</t>
  </si>
  <si>
    <t>Surplus BF</t>
  </si>
  <si>
    <t>(Defecit)/Surplus 2015/2016</t>
  </si>
  <si>
    <t>SIGNED BY MARTIN HOLT ……..</t>
  </si>
  <si>
    <t>TNRA INCOME 2021 to 2022</t>
  </si>
  <si>
    <t>COM TRINITY ASS 96879904</t>
  </si>
  <si>
    <t>Interest</t>
  </si>
  <si>
    <t>Transfers</t>
  </si>
  <si>
    <t>Income</t>
  </si>
  <si>
    <t>Date</t>
  </si>
  <si>
    <t>Type</t>
  </si>
  <si>
    <t>Payee</t>
  </si>
  <si>
    <t>Notes and total check</t>
  </si>
  <si>
    <t>Subs</t>
  </si>
  <si>
    <t>Card sales</t>
  </si>
  <si>
    <t>Eq’pt hire</t>
  </si>
  <si>
    <t>Book stalls</t>
  </si>
  <si>
    <t>Grants</t>
  </si>
  <si>
    <t>Misc</t>
  </si>
  <si>
    <t>Reserve a/c</t>
  </si>
  <si>
    <t>Currant a/c</t>
  </si>
  <si>
    <t>Check</t>
  </si>
  <si>
    <t>Paypal</t>
  </si>
  <si>
    <t>Lesley</t>
  </si>
  <si>
    <t>A</t>
  </si>
  <si>
    <t>B</t>
  </si>
  <si>
    <t>C</t>
  </si>
  <si>
    <t>D</t>
  </si>
  <si>
    <t>TOTALS</t>
  </si>
  <si>
    <t>Accounts analysis exc transfers and misc</t>
  </si>
  <si>
    <t>Table 1</t>
  </si>
  <si>
    <t>TNRA EXPENSES 2020-2021</t>
  </si>
  <si>
    <t>Description</t>
  </si>
  <si>
    <t>Cards</t>
  </si>
  <si>
    <t>Show and Tell</t>
  </si>
  <si>
    <t>Garden Action</t>
  </si>
  <si>
    <t>Walks</t>
  </si>
  <si>
    <t>Keep Christmas Local</t>
  </si>
  <si>
    <t>Xmas Party</t>
  </si>
  <si>
    <t>Pancake</t>
  </si>
  <si>
    <t>Ins</t>
  </si>
  <si>
    <t>PPS, phone</t>
  </si>
  <si>
    <t>e-letters+ publications</t>
  </si>
  <si>
    <t>Committee Meetings/AGM</t>
  </si>
  <si>
    <t>KF/TH Meetings</t>
  </si>
  <si>
    <t>Storage</t>
  </si>
  <si>
    <t>Membership Admin</t>
  </si>
  <si>
    <t>RESERVE</t>
  </si>
  <si>
    <t>CURRENT</t>
  </si>
  <si>
    <t>E</t>
  </si>
  <si>
    <t>TNRA INCOME 2020 to 2021</t>
  </si>
  <si>
    <t>INT</t>
  </si>
  <si>
    <t>30SEP GRS 96879904</t>
  </si>
  <si>
    <t>28AUG GRS 96879904</t>
  </si>
  <si>
    <t>31JUL GRS 96879904</t>
  </si>
  <si>
    <t>30JUN GRS 96879904</t>
  </si>
  <si>
    <t>29MAY GRS 96879904</t>
  </si>
  <si>
    <t>30APR GRS 96879904</t>
  </si>
  <si>
    <t>31MAR GRS 96879904</t>
  </si>
  <si>
    <t>26FEB GRS 96879904</t>
  </si>
  <si>
    <t>29JAN GRS 96879904</t>
  </si>
  <si>
    <t>31DEC GRS 96879904</t>
  </si>
  <si>
    <t>30NOV GRS 96879904</t>
  </si>
  <si>
    <t>30OCT GRS 96879904</t>
  </si>
  <si>
    <t>BAC</t>
  </si>
  <si>
    <t>LESLEY EXTON</t>
  </si>
  <si>
    <t>DPC</t>
  </si>
  <si>
    <t>HORSLER T PP</t>
  </si>
  <si>
    <t>Lesley C</t>
  </si>
  <si>
    <t>L CARTER</t>
  </si>
  <si>
    <t>FILMFIXER LT</t>
  </si>
  <si>
    <t>Refund of expenses re TH/KF meeting</t>
  </si>
  <si>
    <t>Offset meetings cost</t>
  </si>
  <si>
    <t>Lesley D</t>
  </si>
  <si>
    <t>C/R</t>
  </si>
  <si>
    <t>515003</t>
  </si>
  <si>
    <t>FROM A/C 96879904</t>
  </si>
  <si>
    <t xml:space="preserve">Analysis </t>
  </si>
  <si>
    <t>Zip for Gazebo</t>
  </si>
  <si>
    <t>PPS</t>
  </si>
  <si>
    <t>Paid out</t>
  </si>
  <si>
    <t>Music is th e Square</t>
  </si>
  <si>
    <t>RAG donation of plants</t>
  </si>
  <si>
    <t>20 April 2020</t>
  </si>
  <si>
    <t>TO A/C 96841052</t>
  </si>
  <si>
    <t>30 March 2021</t>
  </si>
  <si>
    <t>TANJA JOST</t>
  </si>
  <si>
    <t>Feb/March</t>
  </si>
  <si>
    <t>25 March 2021</t>
  </si>
  <si>
    <t>COPYPRINTS LTD</t>
  </si>
  <si>
    <t>5 March 2021</t>
  </si>
  <si>
    <t>S/O</t>
  </si>
  <si>
    <t>KNIGHT FRANK LLP</t>
  </si>
  <si>
    <t>4 March 2021</t>
  </si>
  <si>
    <t>2 March 2021</t>
  </si>
  <si>
    <t>POS</t>
  </si>
  <si>
    <t>SQUARESPACE INC.</t>
  </si>
  <si>
    <t>O/s invoice</t>
  </si>
  <si>
    <t>1 March 2021</t>
  </si>
  <si>
    <t>JR EXTON LM EXTON</t>
  </si>
  <si>
    <t>17 February 2021</t>
  </si>
  <si>
    <t>16 February 2021</t>
  </si>
  <si>
    <t>5 February 2021</t>
  </si>
  <si>
    <t>14 January 2021</t>
  </si>
  <si>
    <t>TO A/C 48248118</t>
  </si>
  <si>
    <t>5 January 2021</t>
  </si>
  <si>
    <t>4 January 2021</t>
  </si>
  <si>
    <t>MCLOUGHLIN</t>
  </si>
  <si>
    <t>7 December 2020</t>
  </si>
  <si>
    <t>2 December 2020</t>
  </si>
  <si>
    <t>30 November 2020</t>
  </si>
  <si>
    <t>5 November 2020</t>
  </si>
  <si>
    <t>3 November 2020</t>
  </si>
  <si>
    <t>26 October 2020</t>
  </si>
  <si>
    <t>6 October 2020</t>
  </si>
  <si>
    <t>5 October 2020</t>
  </si>
  <si>
    <t>1 October 2020</t>
  </si>
  <si>
    <t>9 September 2020</t>
  </si>
  <si>
    <t>7 September 2020</t>
  </si>
  <si>
    <t>5 August 2020</t>
  </si>
  <si>
    <t>6 July 2020</t>
  </si>
  <si>
    <t>1 July 2020</t>
  </si>
  <si>
    <t>15 June 2020</t>
  </si>
  <si>
    <t>TIM HORSLER</t>
  </si>
  <si>
    <t>Expenses</t>
  </si>
  <si>
    <t>5 June 2020</t>
  </si>
  <si>
    <t>27 May 2020</t>
  </si>
  <si>
    <t>11 May 2020</t>
  </si>
  <si>
    <t>Gloves</t>
  </si>
  <si>
    <t>5 May 2020</t>
  </si>
  <si>
    <t>NAMESCO</t>
  </si>
  <si>
    <t>15 April 2020</t>
  </si>
  <si>
    <t>6 April 2020</t>
  </si>
  <si>
    <t>1 April 2020</t>
  </si>
  <si>
    <t xml:space="preserve">Reanalysis of TJ fees </t>
  </si>
  <si>
    <t xml:space="preserve">Lesley </t>
  </si>
  <si>
    <t>Paypal fees</t>
  </si>
  <si>
    <t>Analysis in accounts check</t>
  </si>
  <si>
    <t>TNRA INCOME 2019 to 2020</t>
  </si>
  <si>
    <t>28FEB GRS 96879904</t>
  </si>
  <si>
    <t>31JAN GRS 96879904</t>
  </si>
  <si>
    <t>29NOV GRS 96879904</t>
  </si>
  <si>
    <t>31OCT GRS 96879904</t>
  </si>
  <si>
    <t>30AUG GRS 96879904</t>
  </si>
  <si>
    <t>FROM A/C 96841052</t>
  </si>
  <si>
    <t>28JUN GRS 96879904</t>
  </si>
  <si>
    <t>31MAY GRS 96879904</t>
  </si>
  <si>
    <t>IZETTLE AB</t>
  </si>
  <si>
    <t>603006</t>
  </si>
  <si>
    <t>515003 cheques for subs</t>
  </si>
  <si>
    <t>Ms HH Sig</t>
  </si>
  <si>
    <t>SURREY DOCKS FARM</t>
  </si>
  <si>
    <t>Invoice</t>
  </si>
  <si>
    <t>GILBERTSON-H V05</t>
  </si>
  <si>
    <t>Invoice o/s</t>
  </si>
  <si>
    <t>MINT STREET MUSIC</t>
  </si>
  <si>
    <t>Email</t>
  </si>
  <si>
    <t>BANKSIDE OPEN SPAC</t>
  </si>
  <si>
    <t>CAMBERWELL ARTS LI</t>
  </si>
  <si>
    <t>Bar</t>
  </si>
  <si>
    <t>Tombola</t>
  </si>
  <si>
    <t>ARNOLD SL</t>
  </si>
  <si>
    <t>PAYPAL</t>
  </si>
  <si>
    <t>Checked</t>
  </si>
  <si>
    <t>Analysis check</t>
  </si>
  <si>
    <t>ADJUSTMENTS</t>
  </si>
  <si>
    <t>Izettle charge add back</t>
  </si>
  <si>
    <t>FOR POSTING</t>
  </si>
  <si>
    <t>Izettle</t>
  </si>
  <si>
    <t>Lesley/Bank</t>
  </si>
  <si>
    <t>TNRA EXPENSES 2018 - 2019</t>
  </si>
  <si>
    <t>Newsletters</t>
  </si>
  <si>
    <t>Membership cards, S&amp;T 9.1.20</t>
  </si>
  <si>
    <t>DENNIS SUNJIC</t>
  </si>
  <si>
    <t>E G HECKELS</t>
  </si>
  <si>
    <t>CIRO IUBIREAMEA</t>
  </si>
  <si>
    <t>Thx for Ed, Garden action refresh</t>
  </si>
  <si>
    <t>R GALTON</t>
  </si>
  <si>
    <t>HISCOXUNDERWRITING</t>
  </si>
  <si>
    <t>Refreshment</t>
  </si>
  <si>
    <t>JANET TAYLOR</t>
  </si>
  <si>
    <t>The band</t>
  </si>
  <si>
    <t>Echium supports</t>
  </si>
  <si>
    <t>TRINITY ESTATES</t>
  </si>
  <si>
    <t>Mulled wine etc</t>
  </si>
  <si>
    <t>Subs invite</t>
  </si>
  <si>
    <t>JOHN MOORE</t>
  </si>
  <si>
    <t>JOHN CONSTABLE</t>
  </si>
  <si>
    <t>CHQ</t>
  </si>
  <si>
    <t>489</t>
  </si>
  <si>
    <t>Royal Oak</t>
  </si>
  <si>
    <t>Business cards</t>
  </si>
  <si>
    <t>TO A/C 96879904</t>
  </si>
  <si>
    <t>Welsh Choir</t>
  </si>
  <si>
    <t>CLIVE GREENWOOD</t>
  </si>
  <si>
    <t>GINNY STUART</t>
  </si>
  <si>
    <t>ANNIE WINGFIELD</t>
  </si>
  <si>
    <t>R&amp;P BOWDLER CHARIT</t>
  </si>
  <si>
    <t>SCI certificate</t>
  </si>
  <si>
    <t>Membership cards</t>
  </si>
  <si>
    <t>ANTHONY GOLD</t>
  </si>
  <si>
    <t>ASTs</t>
  </si>
  <si>
    <t>Izettle charge</t>
  </si>
  <si>
    <t>Lesley adjustments</t>
  </si>
  <si>
    <t>Paypal: fees analysed for the first time</t>
  </si>
  <si>
    <t xml:space="preserve">Totals </t>
  </si>
  <si>
    <t>TNRA INCOME 2018 to 2019</t>
  </si>
  <si>
    <t>RESERVE ACCOUNT</t>
  </si>
  <si>
    <t>28SEP GRS 96879904</t>
  </si>
  <si>
    <t>31AUG GRS 96879904</t>
  </si>
  <si>
    <t>29JUN GRS 96879904</t>
  </si>
  <si>
    <t>CURRENT ACCOUNT</t>
  </si>
  <si>
    <t>ALLEN D</t>
  </si>
  <si>
    <t>Camberwell Arts</t>
  </si>
  <si>
    <t>Donation</t>
  </si>
  <si>
    <t>G 31 July</t>
  </si>
  <si>
    <t>F</t>
  </si>
  <si>
    <t>CAPITA PROPERTY</t>
  </si>
  <si>
    <t>G</t>
  </si>
  <si>
    <t>Who?</t>
  </si>
  <si>
    <t>H3</t>
  </si>
  <si>
    <t>H2</t>
  </si>
  <si>
    <t>H6</t>
  </si>
  <si>
    <t>H1</t>
  </si>
  <si>
    <t>H5</t>
  </si>
  <si>
    <t>H4</t>
  </si>
  <si>
    <t>I</t>
  </si>
  <si>
    <t>J4</t>
  </si>
  <si>
    <t>J3</t>
  </si>
  <si>
    <t>J2</t>
  </si>
  <si>
    <t>J1</t>
  </si>
  <si>
    <t>Lesley Offset monies before input to bank</t>
  </si>
  <si>
    <t>PPS, Committee</t>
  </si>
  <si>
    <t>Committee</t>
  </si>
  <si>
    <t>PPS, Equipment</t>
  </si>
  <si>
    <t>Various</t>
  </si>
  <si>
    <t>CHECK</t>
  </si>
  <si>
    <t>Transactions after 25.03.2019</t>
  </si>
  <si>
    <t>Reserve a/c Interest</t>
  </si>
  <si>
    <t>Paypal income</t>
  </si>
  <si>
    <t>Wine event, Subs, Card sales</t>
  </si>
  <si>
    <t>Transfer</t>
  </si>
  <si>
    <t>Paypal to Bank re 2017/2018</t>
  </si>
  <si>
    <t>Garden days</t>
  </si>
  <si>
    <t>Opera</t>
  </si>
  <si>
    <t>Meetings</t>
  </si>
  <si>
    <t>FLAVOURS OF NAPLES</t>
  </si>
  <si>
    <t>R J GALTON</t>
  </si>
  <si>
    <t>Thank you to John and Frank at the Royal Oak</t>
  </si>
  <si>
    <t>?</t>
  </si>
  <si>
    <t>o/s</t>
  </si>
  <si>
    <t>G WORRALL &amp; SON</t>
  </si>
  <si>
    <t>Notice board</t>
  </si>
  <si>
    <t>TOM STODDART</t>
  </si>
  <si>
    <t>MELANIE SANDERS</t>
  </si>
  <si>
    <t>DANIEL JOY</t>
  </si>
  <si>
    <t>CAROLINE FOULKES</t>
  </si>
  <si>
    <t>CAPITACLIENTA/C5</t>
  </si>
  <si>
    <t>SALLYANNE WOODS</t>
  </si>
  <si>
    <t>TRIXIE CARTWRIGHT</t>
  </si>
  <si>
    <t>CIS MEDIA</t>
  </si>
  <si>
    <t>SUE TRINDER</t>
  </si>
  <si>
    <t>Advice on rent</t>
  </si>
  <si>
    <t>Transactions after 23.03.2019</t>
  </si>
  <si>
    <t>TANIA expenses refund</t>
  </si>
  <si>
    <t>Penny expenses refund</t>
  </si>
  <si>
    <t>Adjustments</t>
  </si>
  <si>
    <t>Fees/costs</t>
  </si>
  <si>
    <t>Historic Paypal balance w/o</t>
  </si>
  <si>
    <t>Current Account</t>
  </si>
  <si>
    <t>28 March 2018</t>
  </si>
  <si>
    <t>9 March 2018</t>
  </si>
  <si>
    <t>6 March 2018</t>
  </si>
  <si>
    <t>COPYPRINTS</t>
  </si>
  <si>
    <t>1 March 2018</t>
  </si>
  <si>
    <t>Reserve Account</t>
  </si>
  <si>
    <t>29 March 2018</t>
  </si>
  <si>
    <t>29MAR GRS 96879904</t>
  </si>
  <si>
    <t>28 February 2018</t>
  </si>
  <si>
    <t>23 February 2018</t>
  </si>
  <si>
    <t>31 January 2018</t>
  </si>
  <si>
    <t>29 December 2017</t>
  </si>
  <si>
    <t>29DEC GRS 96879904</t>
  </si>
  <si>
    <t>30 November 2017</t>
  </si>
  <si>
    <t>23 November 2017</t>
  </si>
  <si>
    <t>31 October 2017</t>
  </si>
  <si>
    <t>13 October 2017</t>
  </si>
  <si>
    <t>29 September 2017</t>
  </si>
  <si>
    <t>29SEP GRS 96879904</t>
  </si>
  <si>
    <t>31 August 2017</t>
  </si>
  <si>
    <t>31 July 2017</t>
  </si>
  <si>
    <t>30 June 2017</t>
  </si>
  <si>
    <t>31 May 2017</t>
  </si>
  <si>
    <t>5 May 2017</t>
  </si>
  <si>
    <t>28 April 2017</t>
  </si>
  <si>
    <t>28APR GRS 96879904</t>
  </si>
  <si>
    <t>Reserve account</t>
  </si>
  <si>
    <t>TANIA</t>
  </si>
  <si>
    <t>23 December 2020</t>
  </si>
  <si>
    <t>10 December 2020</t>
  </si>
  <si>
    <t>18 November 2020</t>
  </si>
  <si>
    <t>14 September 2020</t>
  </si>
  <si>
    <t>1 September 2020</t>
  </si>
  <si>
    <t>24 August 2020</t>
  </si>
  <si>
    <t>10 August 2020</t>
  </si>
  <si>
    <t>18 May 2020</t>
  </si>
  <si>
    <t>31 March 2021</t>
  </si>
  <si>
    <t>26 February 2021</t>
  </si>
  <si>
    <t>29 January 2021</t>
  </si>
  <si>
    <t>31 December 2020</t>
  </si>
  <si>
    <t>30 October 2020</t>
  </si>
  <si>
    <t>30 September 2020</t>
  </si>
  <si>
    <t>28 August 2020</t>
  </si>
  <si>
    <t>31 July 2020</t>
  </si>
  <si>
    <t>30 June 2020</t>
  </si>
  <si>
    <t>29 May 2020</t>
  </si>
  <si>
    <t>29MAY GRS 96879904
Type: Interest</t>
  </si>
  <si>
    <t>30 April 2020</t>
  </si>
  <si>
    <t>MEERA RAJAN , WEBSITE , VIA ONLINE - PYMT , FP 04/03/22 10 , 09131230320158000N</t>
  </si>
  <si>
    <t>R GALTON , TNRA EXPENSES , VIA ONLINE - PYMT , FP 04/03/22 10 , 56131545654576000N</t>
  </si>
  <si>
    <t>A WALKER PENNY , TNRA , VIA ONLINE - PYMT , FP 28/02/22 10 , 28121408740276000N</t>
  </si>
  <si>
    <t>E G HECKELS , TNRA EXPENSES , VIA ONLINE - PYMT , FP 24/02/22 10 , 20121918485164000N</t>
  </si>
  <si>
    <t>NEIL THWAITES , TNRA RECYCLING , VIA ONLINE - PYMT , FP 23/02/22 10 , 35134101052757000N</t>
  </si>
  <si>
    <t>FROM A/C 96841052, VIA ONLINE - XFER</t>
  </si>
  <si>
    <t>29OCT GRS 96879904</t>
  </si>
  <si>
    <t>30JUL GRS 96879904</t>
  </si>
  <si>
    <t>28MAY GRS 96879904</t>
  </si>
  <si>
    <t>Openning balance</t>
  </si>
  <si>
    <t>KNIGHT FRANK LLP , 19378 , FP 07/03/22 30 , 19013419906805000N</t>
  </si>
  <si>
    <t>JOHN EXTON , TNRA FROM LESLEY , FP 02/03/22 1005 , 00156361632BBDFNKR</t>
  </si>
  <si>
    <t>JOHN EXTON , TNRA FROM LESLEY , FP 02/03/22 1006 , 00156361632BBDFNKT</t>
  </si>
  <si>
    <t>JOHN EXTON , TNRA FROM LESLEY , FP 02/03/22 1006 , 00156361632BBDFNKS</t>
  </si>
  <si>
    <t>KANE RP&amp;MJ , EQUIPMENT RENTAL , FP 22/02/22 1718 , 710780928171222001</t>
  </si>
  <si>
    <t>KNIGHT FRANK LLP , 19378 , FP 07/02/22 30 , 36013408041005000N</t>
  </si>
  <si>
    <t>JOHN EXTON , TNRA FROM LESLEY , FP 25/01/22 1102 , 00156361632BBDDZGC</t>
  </si>
  <si>
    <t>JOHN EXTON , TNRA FROM LESLEY , FP 25/01/22 1102 , 00156361632BBDDZGB</t>
  </si>
  <si>
    <t>JOHN EXTON , TNRA FROM LESLEY , FP 25/01/22 1101 , 00156361632BBDDZFZ</t>
  </si>
  <si>
    <t>JR EXTON LM EXTON , TNRA EXPENSES , VIA ONLINE - PYMT , FP 08/01/22 10 , 32153332553584000N</t>
  </si>
  <si>
    <t>KNIGHT FRANK LLP , 19378 , FP 05/01/22 30 , 63023429562377000N</t>
  </si>
  <si>
    <t>MCLOUGHLIN , FP 04/01/22 30 , 32014422335000000N</t>
  </si>
  <si>
    <t>COPYPRINTS LTD , TNRA 22602 , VIA ONLINE - PYMT , FP 30/12/21 10 , 33143252373187000N</t>
  </si>
  <si>
    <t>E G HECKELS , TNRA EXPENSES , VIA ONLINE - PYMT , FP 19/12/21 10 , 24162525007051000N</t>
  </si>
  <si>
    <t>COPYPRINTS LTD , TNRA 22586 , VIA ONLINE - PYMT , FP 19/12/21 10 , 28162426535880000N</t>
  </si>
  <si>
    <t>1094 13DEC21 , NAMESCO , WORCESTER GB</t>
  </si>
  <si>
    <t>L CARTER , L CARTER , FP 10/12/21 0425 , 400000000862498950</t>
  </si>
  <si>
    <t>KNIGHT FRANK LLP , 19378 , FP 06/12/21 30 , 28013407257401000N</t>
  </si>
  <si>
    <t>PAYPAL INC. , TRINITY NEWINGTON</t>
  </si>
  <si>
    <t>LESLEY EXTON , TNRA FROM LESLEY , FP 22/11/21 1049 , 00156361632BBDDCLD</t>
  </si>
  <si>
    <t>LESLEY EXTON , TNRA FROM LESLEY , FP 22/11/21 1048 , 00156361632BBDDCLC</t>
  </si>
  <si>
    <t>PELTZER MRS M CA , MARTINE PELTZER , FP 17/11/21 1754 , 33175407030838000R, PELTZER MRS M CA , MARTINE PELTZER , VIA ONLINE - PYMT</t>
  </si>
  <si>
    <t>1094 13NOV21 , NAMESCO , WORCESTER GB</t>
  </si>
  <si>
    <t>MEERA RAJAN , KEY , VIA ONLINE - PYMT , FP 12/11/21 10 , 48154015389031000N</t>
  </si>
  <si>
    <t>CHIRU , TNRA , VIA ONLINE - PYMT , FP 12/11/21 10 , 27130328703526000N</t>
  </si>
  <si>
    <t>MACKEY , TNRA , VIA ONLINE - PYMT , FP 12/11/21 10 , 37125603221705000N</t>
  </si>
  <si>
    <t>KANCHEV , TNRA , VIA ONLINE - PYMT , FP 12/11/21 10 , 41125212345810000N</t>
  </si>
  <si>
    <t>VAN DRIE , TNRA , VIA ONLINE - PYMT , FP 12/11/21 10 , 38130659857306000N</t>
  </si>
  <si>
    <t>E G HECKELS , TNRA EXPENSES , VIA ONLINE - PYMT , FP 12/11/21 10 , 30120039989993000N</t>
  </si>
  <si>
    <t>COPYPRINTS LTD , TNRA 22593 , VIA ONLINE - PYMT , FP 12/11/21 10 , 02115947366052000N</t>
  </si>
  <si>
    <t>MISCH , TNRA , VIA ONLINE - PYMT , FP 12/11/21 10 , 30130016330256000N</t>
  </si>
  <si>
    <t>TO A/C 96879904, VIA ONLINE - XFER</t>
  </si>
  <si>
    <t>FILMFIXER LT , 1012 , FP 08/11/21 1037 , 123499857301801101</t>
  </si>
  <si>
    <t>KNIGHT FRANK LLP , 19378 , FP 05/11/21 30 , 19023521577123000N</t>
  </si>
  <si>
    <t>E G HECKELS , TNRA EXPENSES , VIA ONLINE - PYMT , FP 03/11/21 10 , 23123600598576000N</t>
  </si>
  <si>
    <t>GINNY STUART , TNRA YOGA , VIA ONLINE - PYMT , FP 03/11/21 10 , 35123742059220000N</t>
  </si>
  <si>
    <t>LESLEY EXTON , TNRA FROM LESLEY , FP 20/10/21 1222 , 00156361632BBDCQXP</t>
  </si>
  <si>
    <t>LESLEY EXTON , TNRA FROM LESLEY , FP 20/10/21 1220 , 00156361632BBDCQXN</t>
  </si>
  <si>
    <t>LESLEY EXTON , TNRA FROM LESLEY , FP 20/10/21 1223 , 00156361632BBDCQXQ</t>
  </si>
  <si>
    <t>1094 13OCT21 , NAMESCO , WORCESTER GB</t>
  </si>
  <si>
    <t>FILMFIXER LT , 02620-SWKFIL002440, FP 12/10/21 1439 , 221799819341210101</t>
  </si>
  <si>
    <t>TO A/C 48301116, VIA ONLINE - XFER</t>
  </si>
  <si>
    <t>ANNIE WINGFIELD , TNRA , VIA ONLINE - PYMT , FP 07/10/21 10 , 22171200411435000N</t>
  </si>
  <si>
    <t>CAMBERWELL ARTS LI, CAMBERWELL ARTS , FP 06/10/21 1731 , 0717704213716018FU</t>
  </si>
  <si>
    <t>KNIGHT FRANK LLP , 19378 , FP 05/10/21 30 , 33023353024605000N</t>
  </si>
  <si>
    <t>ANNIE WINGFIELD , TNRA , VIA ONLINE - PYMT , FP 03/10/21 10 , 27174605668610000N</t>
  </si>
  <si>
    <t>COPYPRINTS LTD , TNRA 22562 , VIA ONLINE - PYMT , FP 03/10/21 10 , 47163758896690000N</t>
  </si>
  <si>
    <t>COPYPRINTS LTD , TNRA 22556 , VIA ONLINE - PYMT , FP 03/10/21 10 , 62163703709839000N</t>
  </si>
  <si>
    <t>MCLOUGHLIN , FP 01/10/21 30 , 50024329014436000N</t>
  </si>
  <si>
    <t>COPYPRINTS LTD , TNRA 22570 , VIA ONLINE - PYMT , FP 27/09/21 10 , 34123916418094000N</t>
  </si>
  <si>
    <t>LESLEY EXTON , TNRA FROM LESLEY , FP 19/09/21 1522 , 00156361632BBDCFPS</t>
  </si>
  <si>
    <t>LESLEY EXTON , TNRA FROM LESLEY , FP 19/09/21 1521 , 00156361632BBDCFPR</t>
  </si>
  <si>
    <t>LESLEY EXTON , TNRA FROM LESLEY , FP 19/09/21 1520 , 00156361632BBDCFPQ</t>
  </si>
  <si>
    <t>LESLEY EXTON , TNRA FROM LESLEY , FP 19/09/21 1523 , 00156361632BBDCFPV</t>
  </si>
  <si>
    <t>LESLEY EXTON , TNRA FROM LESLEY , FP 19/09/21 1522 , 00156361632BBDCFPT</t>
  </si>
  <si>
    <t>1094 13SEP21 , NAMESCO , WORCESTER GB</t>
  </si>
  <si>
    <t>KNIGHT FRANK LLP , 19378 , FP 06/09/21 30 , 59013416868295000N</t>
  </si>
  <si>
    <t>TIM HORSLER , TNRA REIMBURSED EX, VIA ONLINE - PYMT</t>
  </si>
  <si>
    <t>1094 13AUG21 , NAMESCO , WORCESTER GB</t>
  </si>
  <si>
    <t>LESLEY EXTON , TNRA FROM LESLEY , FP 07/08/21 1153 , 00156361632BBDBQWB</t>
  </si>
  <si>
    <t>LESLEY EXTON , TNRA FROM LESLEY , FP 07/08/21 1153 , 00156361632BBDBQVZ</t>
  </si>
  <si>
    <t>LESLEY EXTON , TNRA FROM LESLEY , FP 07/08/21 1152 , 00156361632BBDBQVY</t>
  </si>
  <si>
    <t>KNIGHT FRANK LLP , 19378 , FP 05/08/21 30 , 09023341778536000N</t>
  </si>
  <si>
    <t>E G HECKELS , TNRA EXPENSES , VIA ONLINE - PYMT , FP 26/07/21 10 , 48141654170913000N</t>
  </si>
  <si>
    <t>1094 13JUL21 , NAMESCO , WORCESTER GB</t>
  </si>
  <si>
    <t>KNIGHT FRANK LLP , 19378 , FP 05/07/21 30 , 62013426809785000N</t>
  </si>
  <si>
    <t>MCLOUGHLIN , FP 01/07/21 30 , 57024243795334000N</t>
  </si>
  <si>
    <t>FILMFIXER LT , 02265-SWKFIL002065, FP 29/06/21 1006 , 582036236001926001</t>
  </si>
  <si>
    <t>FILMFIXER LT , 02340-SWKFIL002159, FP 29/06/21 1005 , 575969315001926001</t>
  </si>
  <si>
    <t>HISCOXUNDERWRITING, POLICY 74501113 , VIA ONLINE - PYMT , FP 23/06/21 10 , 32072343912123000N</t>
  </si>
  <si>
    <t>ALLEN D , GAZEBO HIRE CAF , FP 20/06/21 2256 , RP4679969085343400</t>
  </si>
  <si>
    <t>HISCOXUNDERWRITING, POLICY 74501113 , VIA ONLINE - PYMT , FP 18/06/21 10 , 42123054209778000N</t>
  </si>
  <si>
    <t>1094 13JUN21 , NAMESCO , WORCESTER GB</t>
  </si>
  <si>
    <t>KNIGHT FRANK LLP , 19378 , FP 07/06/21 30 , 50013356345924000N</t>
  </si>
  <si>
    <t>LESLEY EXTON , TNRA FROM LESLEY , FP 07/06/21 0912 , 00156361632BBCZTRR</t>
  </si>
  <si>
    <t>LESLEY EXTON , TNRA FROM LESLEY , FP 07/06/21 0913 , 00156361632BBCZTRT</t>
  </si>
  <si>
    <t>1094 24MAY21 , NAMESCO , WORCESTER GB</t>
  </si>
  <si>
    <t>MEERA RAJAN , TNRA EXPENSES , VIA ONLINE - PYMT , FP 21/05/21 10 , 54132231420401000N</t>
  </si>
  <si>
    <t>1094 13MAY21 , NAMESCO , WORCESTER GB</t>
  </si>
  <si>
    <t>KANE RP&amp;MJ , EQUIPMENT RENTAL , FP 17/05/21 1815 , 431341745181715001</t>
  </si>
  <si>
    <t>KNIGHT FRANK LLP , 19378 , FP 05/05/21 30 , 15023401752217000N</t>
  </si>
  <si>
    <t>1094 01MAY21 , NAMESCO , WORCESTER GB</t>
  </si>
  <si>
    <t>LESLEY EXTON , TNRA FROM LESLEY , FP 03/05/21 1001 , 00156361632BBCZHJP</t>
  </si>
  <si>
    <t>LESLEY EXTON , TNRA FROM LESLEY , FP 03/05/21 1000 , 00156361632BBCZHJN</t>
  </si>
  <si>
    <t>LESLEY EXTON , TNRA FROM LESLEY , FP 19/04/21 0803 , 00156361632BBCZCLT</t>
  </si>
  <si>
    <t>LESLEY EXTON , TNRA FROM LESLEY , FP 19/04/21 0803 , 00156361632BBCZCLV</t>
  </si>
  <si>
    <t>1094 13APR21 , NAMESCO , WORCESTER GB</t>
  </si>
  <si>
    <t>KNIGHT FRANK LLP , 19378 , FP 06/04/21 30 , 26013815982858000N</t>
  </si>
  <si>
    <t>MCLOUGHLIN , FP 01/04/21 30 , 25024324528632000N</t>
  </si>
  <si>
    <t>NEIL THWAITES , TNRA RECYCLING , VIA ONLINE - PYMT , FP 01/04/21 40 , 26024324534736000N</t>
  </si>
  <si>
    <t>E G HECKELS , TNRA EXPENSES , VIA ONLINE - PYMT , FP 01/04/21 40 , 27024324536659000N</t>
  </si>
  <si>
    <t>16/03.2022</t>
  </si>
  <si>
    <t>Copyprints Ltd</t>
  </si>
  <si>
    <t>Paypall</t>
  </si>
  <si>
    <t>0.01</t>
  </si>
  <si>
    <t>Dennis Sunjic</t>
  </si>
  <si>
    <t>Paypall Code</t>
  </si>
  <si>
    <t>Copyprint Ltd</t>
  </si>
  <si>
    <t>1.96</t>
  </si>
  <si>
    <t xml:space="preserve">John Exton </t>
  </si>
  <si>
    <t>92.63</t>
  </si>
  <si>
    <t>019745</t>
  </si>
  <si>
    <t>Website/IT</t>
  </si>
  <si>
    <t>Walks/Yoga events</t>
  </si>
  <si>
    <t>check</t>
  </si>
  <si>
    <t>PAYPAL , PPWDL5B822224ZM8MG, FP 31/03/22 1047 , PPWD100000000TUAEV</t>
  </si>
  <si>
    <t>PAYPAL , PPWDL5B82222229HSU, FP 31/03/22 1048 , PPWD10000000002MQ5</t>
  </si>
  <si>
    <t>Paypall Transfer</t>
  </si>
  <si>
    <t>Paypal current account</t>
  </si>
  <si>
    <t>Bank current account - Natwest</t>
  </si>
  <si>
    <t>PENNY HINVES , TNRA , VIA ONLINE - PYMT</t>
  </si>
  <si>
    <t>CDM</t>
  </si>
  <si>
    <t xml:space="preserve">Donation </t>
  </si>
  <si>
    <t>Litter Picking</t>
  </si>
  <si>
    <t>Opera event</t>
  </si>
  <si>
    <t>Party</t>
  </si>
  <si>
    <t>check1</t>
  </si>
  <si>
    <t>Event</t>
  </si>
  <si>
    <t>Jubille</t>
  </si>
  <si>
    <t>Event Jubilee</t>
  </si>
  <si>
    <r>
      <rPr>
        <sz val="20"/>
        <color indexed="8"/>
        <rFont val="Helvetica Neue"/>
        <family val="2"/>
      </rPr>
      <t xml:space="preserve"> </t>
    </r>
    <r>
      <rPr>
        <sz val="13"/>
        <color indexed="8"/>
        <rFont val="Helvetica Neue"/>
        <family val="2"/>
      </rPr>
      <t xml:space="preserve"> TNRA ACCOUNTS 01.04.2022 to 31.03.2023</t>
    </r>
  </si>
  <si>
    <t>Opera Event</t>
  </si>
  <si>
    <t>Litter picking</t>
  </si>
  <si>
    <t>Donation / Other</t>
  </si>
  <si>
    <t>1 April 2022 to 31 March 2023</t>
  </si>
  <si>
    <t>Paypall Subs</t>
  </si>
  <si>
    <t>Stationary</t>
  </si>
  <si>
    <t>1 April 2023 to 31 March 2024</t>
  </si>
  <si>
    <t>28MAR GRS 96879904</t>
  </si>
  <si>
    <t>29FEB GRS 96879904</t>
  </si>
  <si>
    <t>515003-75194074</t>
  </si>
  <si>
    <t>E G HECKELS , TNRA EXPENSES , VIA ONLINE - PYMT , FP 28/03/24 10 , 63104039971324000N</t>
  </si>
  <si>
    <t>DENNIS SUNJIC , TNRA TH011 , VIA ONLINE - PYMT , FP 28/03/24 10 , 19103828219297000N</t>
  </si>
  <si>
    <t>5034 22MAR24 , VOUCHER EXPRESS , RIPON GB</t>
  </si>
  <si>
    <t>COPYPRINTS LTD , TNRA 22602 , VIA ONLINE - PYMT , FP 22/03/24 10 , 03172840243202000N</t>
  </si>
  <si>
    <t>STRIPE PAYMENTS UK, STRIPE , FP 19/03/24 0838 , PH737VTI1HMQLI6W00</t>
  </si>
  <si>
    <t>LESLEY EXTON , TNRA FROM LESLEY , FP 18/03/24 1403 , 00156361632BBDSKBC</t>
  </si>
  <si>
    <t>LESLEY EXTON , TNRA FROM LESLEY , FP 18/03/24 1402 , 00156361632BBDSKBB</t>
  </si>
  <si>
    <t>STRIPE PAYMENTS UK, STRIPE , FP 18/03/24 0904 , PH737VTI1HMQC2JW00</t>
  </si>
  <si>
    <t>STRIPE PAYMENTS UK, STRIPE , FP 13/03/24 0845 , PH737VTI1HMPT0TC00</t>
  </si>
  <si>
    <t>STRIPE PAYMENTS UK, STRIPE , FP 12/03/24 0836 , PH737VTI1HMPMWN100</t>
  </si>
  <si>
    <t>STRIPE PAYMENTS UK, STRIPE , FP 11/03/24 0852 , PH737VTI1HMPE1IM00</t>
  </si>
  <si>
    <t>STRIPE PAYMENTS UK, STRIPE , FP 11/03/24 0854 , PH737VTI1HMPDYO500</t>
  </si>
  <si>
    <t>NEIL THWAITES , TNRA RECYCLING , VIA ONLINE - PYMT , FP 08/03/24 10 , 38134502891868000N</t>
  </si>
  <si>
    <t>MEGAN GREENWOOD , TNRA , VIA ONLINE - PYMT , FP 08/03/24 10 , 21134609926219000N</t>
  </si>
  <si>
    <t>STRIPE PAYMENTS UK, STRIPE , FP 07/03/24 0840 , PH737VTI1HMP0PMO00</t>
  </si>
  <si>
    <t>STRIPE PAYMENTS UK, STRIPE , FP 06/03/24 0850 , PH737VTI1HMOWI6Q00</t>
  </si>
  <si>
    <t>KNIGHT FRANK LLP , 19378 , FP 05/03/24 30 , 07023403862513000N</t>
  </si>
  <si>
    <t>5034 01MAR24 , SQUARESPACE INC. , NEW YORK US</t>
  </si>
  <si>
    <t>STRIPE PAYMENTS UK, STRIPE , FP 04/03/24 0857 , PH737VTI1HMOGXMX00</t>
  </si>
  <si>
    <t>STRIPE PAYMENTS UK, STRIPE , FP 29/02/24 0845 , PH737VTI1HMO1IPJ00</t>
  </si>
  <si>
    <t>STRIPE PAYMENTS UK, STRIPE , FP 23/02/24 0843 , PH737VTI1HMN8Z2500</t>
  </si>
  <si>
    <t>STRIPE PAYMENTS UK, STRIPE , FP 22/02/24 0844 , PH737VTI1HMN30UR00</t>
  </si>
  <si>
    <t>STRIPE PAYMENTS UK, STRIPE , FP 21/02/24 0850 , PH737VTI1HMMXQS800</t>
  </si>
  <si>
    <t>COPYPRINTS LTD , TNRA 22602 , VIA ONLINE - PYMT , FP 18/02/24 10 , 13092402866362000N</t>
  </si>
  <si>
    <t>STRIPE PAYMENTS UK, STRIPE , FP 16/02/24 0851 , PH737VTI1HMMD6J100</t>
  </si>
  <si>
    <t>5034 13FEB24 , THE WINE SOCIETY , STEVENAGE GB</t>
  </si>
  <si>
    <t>KANE RP&amp;MJ , EQUIPMENT RENTAL , FP 12/02/24 1019 , 484621129101212001</t>
  </si>
  <si>
    <t>LESLEY EXTON , TNRA FROM LESLEY , FP 09/02/24 1219 , 00156361632BBDRVTT</t>
  </si>
  <si>
    <t>STRIPE PAYMENTS UK, STRIPE , FP 08/02/24 0850 , PH737VTI1HMLBXBR00</t>
  </si>
  <si>
    <t>KNIGHT FRANK LLP , 19378 , FP 05/02/24 30 , 22013526436728000N</t>
  </si>
  <si>
    <t>STRIPE PAYMENTS UK, STRIPE , FP 29/01/24 0844 , PH737VTI1HMJUCFU00</t>
  </si>
  <si>
    <t>STRIPE PAYMENTS UK, STRIPE , FP 29/01/24 0846 , PH737VTI1HMJUWEJ00</t>
  </si>
  <si>
    <t>COPYPRINTS LTD , TNRA 22602 , VIA ONLINE - PYMT , FP 26/01/24 10 , 05165144366116000N</t>
  </si>
  <si>
    <t>STRIPE PAYMENTS UK, STRIPE , FP 19/01/24 0847 , PH737VTI1HMITKU100</t>
  </si>
  <si>
    <t>STRIPE PAYMENTS UK, STRIPE , FP 18/01/24 0851 , PH737VTI1HMIPLLS00</t>
  </si>
  <si>
    <t>LESLEY EXTON , TNRA FROM LESLEY , FP 08/01/24 1525 , 00156361632BBDRKCH</t>
  </si>
  <si>
    <t>LESLEY EXTON , TNRA FROM LESLEY , FP 08/01/24 1524 , 00156361632BBDRKCG</t>
  </si>
  <si>
    <t>KNIGHT FRANK LLP , 19378 , FP 05/01/24 30 , 28023523806158000N</t>
  </si>
  <si>
    <t>MCLOUGHLIN , FP 02/01/24 30 , 47014421269605000N</t>
  </si>
  <si>
    <t>LESLEY EXTON , TNRA FROM LESLEY , FP 12/12/23 1232 , 00156361632BBDQYLV</t>
  </si>
  <si>
    <t>LESLEY EXTON , TNRA FROM LESLEY , FP 12/12/23 1231 , 00156361632BBDQYLT</t>
  </si>
  <si>
    <t>E G HECKELS , TNRA EXPENSES , VIA ONLINE - PYMT , FP 11/12/23 10 , 59161327084483000N</t>
  </si>
  <si>
    <t>L CARTER , L CARTER , FP 11/12/23 0049 , 300000001258633185</t>
  </si>
  <si>
    <t>KNIGHT FRANK LLP , 19378 , FP 05/12/23 30 , 12023400835622000N</t>
  </si>
  <si>
    <t>LESLEY EXTON , TNRA FROM LESLEY , FP 04/12/23 0817 , 00156361632BBDQVWR</t>
  </si>
  <si>
    <t>COPYPRINTS LTD , TNRA 22602 , VIA ONLINE - PYMT , FP 28/11/23 10 , 56155051991779000N</t>
  </si>
  <si>
    <t>COPYPRINTS LTD , TNRA 22602 , VIA ONLINE - PYMT , FP 21/11/23 10 , 36154358192798000N</t>
  </si>
  <si>
    <t>JR EXTON LM EXTON , TNRA EXPENSES , VIA ONLINE - PYMT , FP 21/11/23 10 , 33154642012018000N</t>
  </si>
  <si>
    <t>FILMFIXER LT , 04124-SWKFIL003915, FP 21/11/23 0942 , 720460722490121101</t>
  </si>
  <si>
    <t>FILMFIXER LT , 04218-SWKFIL003983, FP 10/11/23 0830 , 457205230380011101</t>
  </si>
  <si>
    <t>KNIGHT FRANK LLP , 19378 , FP 06/11/23 30 , 29013457290354000N</t>
  </si>
  <si>
    <t>MIDSUMMER OPERA , TNRA , VIA ONLINE - PYMT , FP 23/10/23 10 , 08102126677250000N</t>
  </si>
  <si>
    <t>E G HECKELS , TNRA EXPENSES , VIA ONLINE - PYMT , FP 13/10/23 10 , 10090644130250000N</t>
  </si>
  <si>
    <t>KNIGHT FRANK LLP , 19378 , FP 05/10/23 30 , 24023355110774000N</t>
  </si>
  <si>
    <t>5034 03OCT23 , L B SOUTHWARK - , INT , LONDON GB</t>
  </si>
  <si>
    <t>MCLOUGHLIN , FP 02/10/23 30 , 55014622778570000N</t>
  </si>
  <si>
    <t>COPYPRINTS LTD , TNRA 22602 , VIA ONLINE - PYMT , FP 20/09/23 10 , 62073736232694000N</t>
  </si>
  <si>
    <t>JR EXTON LM EXTON , TNRA EXPENSES , VIA ONLINE - PYMT , FP 20/09/23 10 , 16073850914235000N</t>
  </si>
  <si>
    <t>LESLEY EXTON , TNRA FROM LESLEY , FP 17/09/23 1809 , 00156361632BBDPRNQ</t>
  </si>
  <si>
    <t>LESLEY EXTON , TNRA FROM LESLEY , FP 17/09/23 1809 , 00156361632BBDPRNP</t>
  </si>
  <si>
    <t>LESLEY EXTON , TNRA FROM LESLEY , FP 17/09/23 1808 , 00156361632BBDPRNN</t>
  </si>
  <si>
    <t>LESLEY EXTON , TNRA FROM LESLEY , FP 17/09/23 1808 , 00156361632BBDPRNM</t>
  </si>
  <si>
    <t>E G HECKELS , TNRA EXPENSES , VIA ONLINE - PYMT , FP 15/09/23 10 , 28085338073514000N</t>
  </si>
  <si>
    <t>LESLEY EXTON , TNRA FROM LESLEY , FP 12/09/23 0905 , 00156361632BBDPPZY</t>
  </si>
  <si>
    <t>LESLEY EXTON , TNRA FROM LESLEY , FP 12/09/23 0906 , 00156361632BBDPPZZ</t>
  </si>
  <si>
    <t>COPYPRINTS LTD , TNRA 22602 , VIA ONLINE - PYMT , FP 10/09/23 10 , 02132811413186000N</t>
  </si>
  <si>
    <t>100357 07SEP515003</t>
  </si>
  <si>
    <t>KNIGHT FRANK LLP , 19378 , FP 05/09/23 30 , 28023342588111000N</t>
  </si>
  <si>
    <t>COPYPRINTS LTD , TNRA 22602 , VIA ONLINE - PYMT , FP 27/08/23 10 , 28142811410473000N</t>
  </si>
  <si>
    <t>JOHN MOORE , TNRA EXPENSES , VIA ONLINE - PYMT , FP 27/08/23 10 , 18142730545387000N</t>
  </si>
  <si>
    <t>LESLEY EXTON , TNRA FROM LESLEY , FP 27/08/23 1116 , 00156361632BBDPJTN</t>
  </si>
  <si>
    <t>LESLEY EXTON , TNRA FROM LESLEY , FP 27/08/23 1116 , 00156361632BBDPJTM</t>
  </si>
  <si>
    <t>COR Y BORO , TNRA , VIA ONLINE - PYMT</t>
  </si>
  <si>
    <t>VIRGINIA STUART , TNRA , VIA ONLINE - PYMT , FP 08/08/23 10 , 01143337251777000N</t>
  </si>
  <si>
    <t>KNIGHT FRANK LLP , 19378 , FP 07/08/23 30 , 05013451428400000N</t>
  </si>
  <si>
    <t>KANE RP&amp;MJ , EQUIPMENT RENTAL , FP 24/07/23 1553 , 031970123551427001</t>
  </si>
  <si>
    <t>LESLEY EXTON , TNRA FROM LESLEY , FP 18/07/23 1358 , 00156361632BBDNVHC</t>
  </si>
  <si>
    <t>LESLEY EXTON , TNRA FROM LESLEY , FP 18/07/23 1357 , 00156361632BBDNVHB</t>
  </si>
  <si>
    <t>CLIVE GREENWOOD , TNRA , VIA MOBILE - PYMT , FP 11/07/23 10 , 49152134963655000N</t>
  </si>
  <si>
    <t>KNIGHT FRANK LLP , 19378 , FP 05/07/23 30 , 56023342147704000N</t>
  </si>
  <si>
    <t>MCLOUGHLIN , FP 03/07/23 30 , 46014722461378000N</t>
  </si>
  <si>
    <t>JR EXTON LM EXTON , TNRA EXPENSES , VIA ONLINE - PYMT , FP 30/06/23 10 , 33173029966674000N</t>
  </si>
  <si>
    <t>K F DACRE LACY , EXPENSES TNRAEVENT, VIA ONLINE - PYMT , FP 14/06/23 10 , 41120457601220000N</t>
  </si>
  <si>
    <t>LESLEY EXTON , TNRA FROM LESLEY , FP 14/06/23 1154 , 00156361632BBDNHMW</t>
  </si>
  <si>
    <t>LESLEY EXTON , TNRA FROM LESLEY , FP 14/06/23 1153 , 00156361632BBDNHMV</t>
  </si>
  <si>
    <t>LESLEY EXTON , TNRA FROM LESLEY , FP 14/06/23 1159 , 00156361632BBDNHNC</t>
  </si>
  <si>
    <t>LESLEY EXTON , TNRA FROM LESLEY , FP 14/06/23 1153 , 00156361632BBDNHMT</t>
  </si>
  <si>
    <t>LESLEY EXTON , TNRA FROM LESLEY , FP 14/06/23 1158 , 00156361632BBDNHNB</t>
  </si>
  <si>
    <t>LESLEY EXTON , TNRA FROM LESLEY , FP 14/06/23 1157 , 00156361632BBDNHMZ</t>
  </si>
  <si>
    <t>EMMA PLANT , TNRA , VIA ONLINE - PYMT , FP 13/06/23 10 , 24093952922583000N</t>
  </si>
  <si>
    <t>KANE RP&amp;MJ , EQUIPMENT RENTAL , FP 05/06/23 1841 , 194072051481506001</t>
  </si>
  <si>
    <t>KNIGHT FRANK LLP , 19378 , FP 05/06/23 30 , 53013527590414000N</t>
  </si>
  <si>
    <t>5034 02JUN23 , WWW.EVENT-A , SSURED.COM , LONDON GB</t>
  </si>
  <si>
    <t>E G HECKELS , TNRA EXPENSES , VIA ONLINE - PYMT , FP 02/06/23 10 , 18141557529963000N</t>
  </si>
  <si>
    <t>COPYPRINTS LTD , TNRA 22602 , VIA ONLINE - PYMT , FP 02/06/23 10 , 43141355300654000N</t>
  </si>
  <si>
    <t>5034 25MAY23 , L B SOUTHWARK - , INT , LONDON GB</t>
  </si>
  <si>
    <t>RAFFAELE , TNRA , VIA ONLINE - PYMT , FP 26/05/23 10 , 61163814838360000N</t>
  </si>
  <si>
    <t>FILMFIXER LT , 03844-SWKFIL003622, FP 24/05/23 1647 , 814658507461425001</t>
  </si>
  <si>
    <t>FILMFIXER LT , 03899-SWKFIL003622, FP 24/05/23 1646 , 971323426461425001</t>
  </si>
  <si>
    <t>LESLEY EXTON , TNRA FROM LESLEY , FP 22/05/23 0906 , 00156361632BBDMXTF</t>
  </si>
  <si>
    <t>LESLEY EXTON , TNRA FROM LESLEY , FP 22/05/23 0905 , 00156361632BBDMXTC</t>
  </si>
  <si>
    <t>STERN &amp; HINVES , PENNY EQUIPMENT , VIA ONLINE - PYMT</t>
  </si>
  <si>
    <t>KNIGHT FRANK LLP , 19378 , FP 05/05/23 30 , 38023551968222000N</t>
  </si>
  <si>
    <t>COPYPRINTS LTD , TNRA 22602 , VIA ONLINE - PYMT , FP 02/05/23 10 , 55092250930563000N</t>
  </si>
  <si>
    <t>E G HECKELS , TNRA EXPENSES , VIA ONLINE - PYMT , FP 27/04/23 10 , 32115336280281000N</t>
  </si>
  <si>
    <t>PAYPAL , PPWDL5B8222223KCEQ, FP 20/04/23 1111 , PPWD1000000000HBKB</t>
  </si>
  <si>
    <t>KNIGHT FRANK LLP , 19378 , FP 05/04/23 30 , 19023322200382000N</t>
  </si>
  <si>
    <t>CHIRU , TNRA , VIA ONLINE - PYMT , FP 05/04/23 10 , 33114119917127000N</t>
  </si>
  <si>
    <t>MCLOUGHLIN , FP 03/04/23 30 , 12014507826644000N</t>
  </si>
  <si>
    <t>JR EXTON LM EXTON , TNRA EXPENSES , VIA ONLINE - PYMT , FP 31/03/23 10 , 33162314119759000N</t>
  </si>
  <si>
    <t>LIQUIDITY Manager a/c</t>
  </si>
  <si>
    <t>28MAR GRS 75194074</t>
  </si>
  <si>
    <t>29FEB GRS 75194074</t>
  </si>
  <si>
    <t>31JAN GRS 75194074</t>
  </si>
  <si>
    <t>29DEC GRS 75194074</t>
  </si>
  <si>
    <t>515003-96879904</t>
  </si>
  <si>
    <t>TNRA EXPENSES 2023-2024</t>
  </si>
  <si>
    <t>TNRA INCOME 2023 to 2024</t>
  </si>
  <si>
    <t>Details</t>
  </si>
  <si>
    <t>c LLP , 19378 , FP 05/03/24 30 , 07023403862513000N</t>
  </si>
  <si>
    <t>W Singing Event</t>
  </si>
  <si>
    <t>Liquidity Committee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</si>
</sst>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&quot; &quot;* #,##0&quot; &quot;;&quot;-&quot;* #,##0&quot; &quot;;&quot; &quot;* &quot;-&quot;??&quot; &quot;"/>
    <numFmt numFmtId="166" formatCode="#,##0&quot; &quot;;\(#,##0\)"/>
    <numFmt numFmtId="167" formatCode="mmmm"/>
    <numFmt numFmtId="168" formatCode="d/m/yyyy"/>
    <numFmt numFmtId="169" formatCode="[$£-809]#,##0.00"/>
    <numFmt numFmtId="170" formatCode="dd/mm/yy"/>
    <numFmt numFmtId="171" formatCode="[$£-809]0.00"/>
    <numFmt numFmtId="172" formatCode="[$£-809]#,##0.0#"/>
    <numFmt numFmtId="173" formatCode="[$£-809]0.0#"/>
  </numFmts>
  <fonts count="36">
    <font>
      <sz val="10"/>
      <color indexed="8"/>
      <name val="Helvetica Neue"/>
    </font>
    <font>
      <sz val="12"/>
      <color indexed="8"/>
      <name val="Helvetica Neue"/>
      <family val="2"/>
    </font>
    <font>
      <sz val="13"/>
      <color indexed="8"/>
      <name val="Helvetica Neue"/>
      <family val="2"/>
    </font>
    <font>
      <sz val="20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3"/>
      <color indexed="17"/>
      <name val="Helvetica Neue"/>
      <family val="2"/>
    </font>
    <font>
      <sz val="8"/>
      <color indexed="8"/>
      <name val="Helvetica Neue"/>
      <family val="2"/>
    </font>
    <font>
      <b/>
      <sz val="8"/>
      <color indexed="8"/>
      <name val="Helvetica Neue"/>
      <family val="2"/>
    </font>
    <font>
      <sz val="8"/>
      <color indexed="17"/>
      <name val="Helvetica Neue"/>
      <family val="2"/>
    </font>
    <font>
      <sz val="9"/>
      <color indexed="8"/>
      <name val="Helvetica Neue"/>
      <family val="2"/>
    </font>
    <font>
      <b/>
      <sz val="9"/>
      <color indexed="8"/>
      <name val="Helvetica Neue"/>
      <family val="2"/>
    </font>
    <font>
      <sz val="9"/>
      <color indexed="17"/>
      <name val="Helvetica Neue"/>
      <family val="2"/>
    </font>
    <font>
      <b/>
      <sz val="11"/>
      <color indexed="8"/>
      <name val="Arial"/>
      <family val="2"/>
    </font>
    <font>
      <sz val="10"/>
      <color indexed="25"/>
      <name val="Helvetica Neue"/>
      <family val="2"/>
    </font>
    <font>
      <sz val="9"/>
      <color indexed="25"/>
      <name val="Helvetica Neue"/>
      <family val="2"/>
    </font>
    <font>
      <b/>
      <sz val="9"/>
      <color indexed="25"/>
      <name val="Helvetica Neue"/>
      <family val="2"/>
    </font>
    <font>
      <b/>
      <sz val="11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1"/>
      <color indexed="8"/>
      <name val="Helvetica"/>
      <family val="2"/>
    </font>
    <font>
      <sz val="11"/>
      <color indexed="31"/>
      <name val="Helvetica Neue"/>
      <family val="2"/>
    </font>
    <font>
      <sz val="10"/>
      <color indexed="31"/>
      <name val="Helvetica"/>
      <family val="2"/>
    </font>
    <font>
      <b/>
      <sz val="11"/>
      <color indexed="31"/>
      <name val="Helvetica Neue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31"/>
      <name val="Helvetica"/>
      <family val="2"/>
    </font>
    <font>
      <i/>
      <sz val="9"/>
      <color indexed="8"/>
      <name val="Helvetica"/>
      <family val="2"/>
    </font>
    <font>
      <b/>
      <sz val="10"/>
      <color indexed="31"/>
      <name val="Helvetica Neue"/>
      <family val="2"/>
    </font>
    <font>
      <sz val="13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Helvetica Neue"/>
      <family val="2"/>
    </font>
    <font>
      <sz val="11"/>
      <color rgb="FF000000"/>
      <name val="Calibri"/>
      <family val="2"/>
    </font>
    <font>
      <sz val="9"/>
      <color rgb="FFFF0000"/>
      <name val="Helvetica"/>
      <family val="2"/>
    </font>
    <font>
      <sz val="6"/>
      <color indexed="8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3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23"/>
      </right>
      <top style="thin">
        <color indexed="11"/>
      </top>
      <bottom style="thin">
        <color indexed="1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2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26"/>
      </right>
      <top style="thin">
        <color indexed="12"/>
      </top>
      <bottom style="thin">
        <color indexed="11"/>
      </bottom>
      <diagonal/>
    </border>
    <border>
      <left style="thin">
        <color indexed="26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26"/>
      </right>
      <top style="thin">
        <color indexed="11"/>
      </top>
      <bottom style="thin">
        <color indexed="11"/>
      </bottom>
      <diagonal/>
    </border>
    <border>
      <left style="thin">
        <color indexed="26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26"/>
      </right>
      <top style="thin">
        <color indexed="11"/>
      </top>
      <bottom style="thin">
        <color indexed="13"/>
      </bottom>
      <diagonal/>
    </border>
    <border>
      <left style="thin">
        <color indexed="26"/>
      </left>
      <right style="thin">
        <color indexed="12"/>
      </right>
      <top style="thin">
        <color indexed="11"/>
      </top>
      <bottom style="thin">
        <color indexed="13"/>
      </bottom>
      <diagonal/>
    </border>
    <border>
      <left style="thin">
        <color indexed="27"/>
      </left>
      <right style="thin">
        <color indexed="28"/>
      </right>
      <top style="thin">
        <color indexed="13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13"/>
      </top>
      <bottom style="thin">
        <color indexed="28"/>
      </bottom>
      <diagonal/>
    </border>
    <border>
      <left style="thin">
        <color indexed="28"/>
      </left>
      <right style="thin">
        <color indexed="26"/>
      </right>
      <top style="thin">
        <color indexed="13"/>
      </top>
      <bottom style="thin">
        <color indexed="28"/>
      </bottom>
      <diagonal/>
    </border>
    <border>
      <left style="thin">
        <color indexed="26"/>
      </left>
      <right style="thin">
        <color indexed="27"/>
      </right>
      <top style="thin">
        <color indexed="13"/>
      </top>
      <bottom style="thin">
        <color indexed="28"/>
      </bottom>
      <diagonal/>
    </border>
    <border>
      <left style="thin">
        <color indexed="27"/>
      </left>
      <right style="thin">
        <color indexed="29"/>
      </right>
      <top style="thin">
        <color indexed="13"/>
      </top>
      <bottom style="thin">
        <color indexed="28"/>
      </bottom>
      <diagonal/>
    </border>
    <border>
      <left style="thin">
        <color indexed="29"/>
      </left>
      <right style="thin">
        <color indexed="29"/>
      </right>
      <top style="thin">
        <color indexed="13"/>
      </top>
      <bottom style="thin">
        <color indexed="28"/>
      </bottom>
      <diagonal/>
    </border>
    <border>
      <left style="thin">
        <color indexed="29"/>
      </left>
      <right style="thin">
        <color indexed="29"/>
      </right>
      <top style="thin">
        <color indexed="11"/>
      </top>
      <bottom style="thin">
        <color indexed="28"/>
      </bottom>
      <diagonal/>
    </border>
    <border>
      <left style="thin">
        <color indexed="27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6"/>
      </right>
      <top style="thin">
        <color indexed="28"/>
      </top>
      <bottom style="thin">
        <color indexed="28"/>
      </bottom>
      <diagonal/>
    </border>
    <border>
      <left style="thin">
        <color indexed="26"/>
      </left>
      <right style="thin">
        <color indexed="27"/>
      </right>
      <top style="thin">
        <color indexed="28"/>
      </top>
      <bottom style="thin">
        <color indexed="28"/>
      </bottom>
      <diagonal/>
    </border>
    <border>
      <left style="thin">
        <color indexed="27"/>
      </left>
      <right style="thin">
        <color indexed="29"/>
      </right>
      <top style="thin">
        <color indexed="28"/>
      </top>
      <bottom style="thin">
        <color indexed="28"/>
      </bottom>
      <diagonal/>
    </border>
    <border>
      <left style="thin">
        <color indexed="29"/>
      </left>
      <right style="thin">
        <color indexed="29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13"/>
      </right>
      <top style="thin">
        <color indexed="28"/>
      </top>
      <bottom style="thin">
        <color indexed="28"/>
      </bottom>
      <diagonal/>
    </border>
    <border>
      <left style="thin">
        <color indexed="13"/>
      </left>
      <right style="thin">
        <color indexed="26"/>
      </right>
      <top style="thin">
        <color indexed="28"/>
      </top>
      <bottom style="thin">
        <color indexed="28"/>
      </bottom>
      <diagonal/>
    </border>
    <border>
      <left style="thin">
        <color indexed="30"/>
      </left>
      <right style="thin">
        <color indexed="11"/>
      </right>
      <top style="thin">
        <color indexed="28"/>
      </top>
      <bottom style="thin">
        <color indexed="28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28"/>
      </bottom>
      <diagonal/>
    </border>
    <border>
      <left style="thin">
        <color indexed="11"/>
      </left>
      <right style="thin">
        <color indexed="26"/>
      </right>
      <top style="thin">
        <color indexed="28"/>
      </top>
      <bottom style="thin">
        <color indexed="28"/>
      </bottom>
      <diagonal/>
    </border>
    <border>
      <left style="thin">
        <color indexed="29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9"/>
      </right>
      <top style="thin">
        <color indexed="28"/>
      </top>
      <bottom style="thin">
        <color indexed="28"/>
      </bottom>
      <diagonal/>
    </border>
    <border>
      <left style="thin">
        <color indexed="27"/>
      </left>
      <right style="thin">
        <color indexed="28"/>
      </right>
      <top style="thin">
        <color indexed="28"/>
      </top>
      <bottom style="thin">
        <color indexed="3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32"/>
      </bottom>
      <diagonal/>
    </border>
    <border>
      <left style="thin">
        <color indexed="28"/>
      </left>
      <right style="thin">
        <color indexed="26"/>
      </right>
      <top style="thin">
        <color indexed="28"/>
      </top>
      <bottom style="thin">
        <color indexed="32"/>
      </bottom>
      <diagonal/>
    </border>
    <border>
      <left style="thin">
        <color indexed="26"/>
      </left>
      <right style="thin">
        <color indexed="27"/>
      </right>
      <top style="thin">
        <color indexed="28"/>
      </top>
      <bottom style="thin">
        <color indexed="32"/>
      </bottom>
      <diagonal/>
    </border>
    <border>
      <left style="thin">
        <color indexed="27"/>
      </left>
      <right style="thin">
        <color indexed="29"/>
      </right>
      <top style="thin">
        <color indexed="28"/>
      </top>
      <bottom style="thin">
        <color indexed="32"/>
      </bottom>
      <diagonal/>
    </border>
    <border>
      <left style="thin">
        <color indexed="29"/>
      </left>
      <right style="thin">
        <color indexed="29"/>
      </right>
      <top style="thin">
        <color indexed="28"/>
      </top>
      <bottom style="thin">
        <color indexed="32"/>
      </bottom>
      <diagonal/>
    </border>
    <border>
      <left style="thin">
        <color indexed="28"/>
      </left>
      <right style="thin">
        <color indexed="29"/>
      </right>
      <top style="thin">
        <color indexed="28"/>
      </top>
      <bottom style="thin">
        <color indexed="32"/>
      </bottom>
      <diagonal/>
    </border>
    <border>
      <left style="thin">
        <color indexed="27"/>
      </left>
      <right style="thin">
        <color indexed="28"/>
      </right>
      <top style="thin">
        <color indexed="32"/>
      </top>
      <bottom style="thin">
        <color indexed="32"/>
      </bottom>
      <diagonal/>
    </border>
    <border>
      <left style="thin">
        <color indexed="28"/>
      </left>
      <right style="thin">
        <color indexed="28"/>
      </right>
      <top style="thin">
        <color indexed="32"/>
      </top>
      <bottom style="thin">
        <color indexed="32"/>
      </bottom>
      <diagonal/>
    </border>
    <border>
      <left style="thin">
        <color indexed="28"/>
      </left>
      <right style="thin">
        <color indexed="26"/>
      </right>
      <top style="thin">
        <color indexed="32"/>
      </top>
      <bottom style="thin">
        <color indexed="32"/>
      </bottom>
      <diagonal/>
    </border>
    <border>
      <left style="thin">
        <color indexed="26"/>
      </left>
      <right style="thin">
        <color indexed="27"/>
      </right>
      <top style="thin">
        <color indexed="32"/>
      </top>
      <bottom style="thin">
        <color indexed="28"/>
      </bottom>
      <diagonal/>
    </border>
    <border>
      <left style="thin">
        <color indexed="27"/>
      </left>
      <right style="thin">
        <color indexed="28"/>
      </right>
      <top style="thin">
        <color indexed="32"/>
      </top>
      <bottom style="thin">
        <color indexed="28"/>
      </bottom>
      <diagonal/>
    </border>
    <border>
      <left style="thin">
        <color indexed="28"/>
      </left>
      <right style="thin">
        <color indexed="29"/>
      </right>
      <top style="thin">
        <color indexed="32"/>
      </top>
      <bottom style="thin">
        <color indexed="32"/>
      </bottom>
      <diagonal/>
    </border>
    <border>
      <left style="thin">
        <color indexed="29"/>
      </left>
      <right style="thin">
        <color indexed="29"/>
      </right>
      <top style="thin">
        <color indexed="32"/>
      </top>
      <bottom style="thin">
        <color indexed="32"/>
      </bottom>
      <diagonal/>
    </border>
    <border>
      <left style="thin">
        <color indexed="26"/>
      </left>
      <right style="thin">
        <color indexed="27"/>
      </right>
      <top style="thin">
        <color indexed="32"/>
      </top>
      <bottom style="thin">
        <color indexed="32"/>
      </bottom>
      <diagonal/>
    </border>
    <border>
      <left style="thin">
        <color indexed="27"/>
      </left>
      <right style="thin">
        <color indexed="29"/>
      </right>
      <top style="thin">
        <color indexed="32"/>
      </top>
      <bottom style="thin">
        <color indexed="32"/>
      </bottom>
      <diagonal/>
    </border>
    <border>
      <left style="thin">
        <color indexed="27"/>
      </left>
      <right style="thin">
        <color indexed="28"/>
      </right>
      <top style="thin">
        <color indexed="32"/>
      </top>
      <bottom style="thin">
        <color indexed="27"/>
      </bottom>
      <diagonal/>
    </border>
    <border>
      <left style="thin">
        <color indexed="28"/>
      </left>
      <right style="thin">
        <color indexed="28"/>
      </right>
      <top style="thin">
        <color indexed="32"/>
      </top>
      <bottom style="thin">
        <color indexed="27"/>
      </bottom>
      <diagonal/>
    </border>
    <border>
      <left style="thin">
        <color indexed="28"/>
      </left>
      <right style="thin">
        <color indexed="26"/>
      </right>
      <top style="thin">
        <color indexed="32"/>
      </top>
      <bottom style="thin">
        <color indexed="27"/>
      </bottom>
      <diagonal/>
    </border>
    <border>
      <left style="thin">
        <color indexed="26"/>
      </left>
      <right style="thin">
        <color indexed="27"/>
      </right>
      <top style="thin">
        <color indexed="32"/>
      </top>
      <bottom style="thin">
        <color indexed="27"/>
      </bottom>
      <diagonal/>
    </border>
    <border>
      <left style="thin">
        <color indexed="27"/>
      </left>
      <right style="thin">
        <color indexed="28"/>
      </right>
      <top style="thin">
        <color indexed="27"/>
      </top>
      <bottom style="thin">
        <color indexed="27"/>
      </bottom>
      <diagonal/>
    </border>
    <border>
      <left style="thin">
        <color indexed="28"/>
      </left>
      <right style="thin">
        <color indexed="28"/>
      </right>
      <top style="thin">
        <color indexed="27"/>
      </top>
      <bottom style="thin">
        <color indexed="27"/>
      </bottom>
      <diagonal/>
    </border>
    <border>
      <left style="thin">
        <color indexed="28"/>
      </left>
      <right style="thin">
        <color indexed="26"/>
      </right>
      <top style="thin">
        <color indexed="27"/>
      </top>
      <bottom style="thin">
        <color indexed="27"/>
      </bottom>
      <diagonal/>
    </border>
    <border>
      <left style="thin">
        <color indexed="26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29"/>
      </right>
      <top style="thin">
        <color indexed="32"/>
      </top>
      <bottom style="thin">
        <color indexed="28"/>
      </bottom>
      <diagonal/>
    </border>
    <border>
      <left style="thin">
        <color indexed="26"/>
      </left>
      <right style="thin">
        <color indexed="28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33"/>
      </right>
      <top style="thin">
        <color indexed="27"/>
      </top>
      <bottom style="thin">
        <color indexed="27"/>
      </bottom>
      <diagonal/>
    </border>
    <border>
      <left style="thin">
        <color indexed="33"/>
      </left>
      <right style="thin">
        <color indexed="28"/>
      </right>
      <top style="thin">
        <color indexed="27"/>
      </top>
      <bottom style="thin">
        <color indexed="11"/>
      </bottom>
      <diagonal/>
    </border>
    <border>
      <left style="thin">
        <color indexed="33"/>
      </left>
      <right style="thin">
        <color indexed="28"/>
      </right>
      <top style="thin">
        <color indexed="11"/>
      </top>
      <bottom style="thin">
        <color indexed="11"/>
      </bottom>
      <diagonal/>
    </border>
    <border>
      <left style="thin">
        <color indexed="3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28"/>
      </right>
      <top style="thin">
        <color indexed="27"/>
      </top>
      <bottom style="thin">
        <color indexed="28"/>
      </bottom>
      <diagonal/>
    </border>
    <border>
      <left style="thin">
        <color indexed="26"/>
      </left>
      <right style="thin">
        <color indexed="29"/>
      </right>
      <top style="thin">
        <color indexed="32"/>
      </top>
      <bottom style="thin">
        <color indexed="32"/>
      </bottom>
      <diagonal/>
    </border>
    <border>
      <left style="thin">
        <color indexed="28"/>
      </left>
      <right style="thin">
        <color indexed="26"/>
      </right>
      <top style="thin">
        <color indexed="28"/>
      </top>
      <bottom style="thin">
        <color indexed="27"/>
      </bottom>
      <diagonal/>
    </border>
    <border>
      <left style="thin">
        <color indexed="29"/>
      </left>
      <right style="thin">
        <color indexed="28"/>
      </right>
      <top style="thin">
        <color indexed="32"/>
      </top>
      <bottom style="thin">
        <color indexed="28"/>
      </bottom>
      <diagonal/>
    </border>
    <border>
      <left style="thin">
        <color indexed="29"/>
      </left>
      <right style="thin">
        <color indexed="28"/>
      </right>
      <top style="thin">
        <color indexed="32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3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1"/>
      </right>
      <top style="thin">
        <color indexed="13"/>
      </top>
      <bottom/>
      <diagonal/>
    </border>
    <border>
      <left style="thin">
        <color indexed="11"/>
      </left>
      <right style="thin">
        <color indexed="11"/>
      </right>
      <top style="thin">
        <color indexed="13"/>
      </top>
      <bottom/>
      <diagonal/>
    </border>
    <border>
      <left style="thin">
        <color indexed="11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1"/>
      </right>
      <top style="thin">
        <color indexed="13"/>
      </top>
      <bottom/>
      <diagonal/>
    </border>
    <border>
      <left style="thin">
        <color indexed="11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3"/>
      </right>
      <top/>
      <bottom style="thin">
        <color indexed="11"/>
      </bottom>
      <diagonal/>
    </border>
    <border>
      <left style="thin">
        <color indexed="13"/>
      </left>
      <right style="thin">
        <color indexed="11"/>
      </right>
      <top/>
      <bottom style="thin">
        <color indexed="13"/>
      </bottom>
      <diagonal/>
    </border>
    <border>
      <left style="thin">
        <color indexed="11"/>
      </left>
      <right style="thin">
        <color indexed="11"/>
      </right>
      <top/>
      <bottom style="thin">
        <color indexed="13"/>
      </bottom>
      <diagonal/>
    </border>
    <border>
      <left style="thin">
        <color indexed="11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1"/>
      </right>
      <top/>
      <bottom style="thin">
        <color indexed="13"/>
      </bottom>
      <diagonal/>
    </border>
    <border>
      <left style="thin">
        <color indexed="11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13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3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11"/>
      </bottom>
      <diagonal/>
    </border>
    <border>
      <left/>
      <right style="thin">
        <color indexed="13"/>
      </right>
      <top style="thin">
        <color indexed="11"/>
      </top>
      <bottom style="thin">
        <color indexed="8"/>
      </bottom>
      <diagonal/>
    </border>
    <border>
      <left/>
      <right style="thin">
        <color indexed="16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/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13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164" fontId="32" fillId="0" borderId="0" applyFont="0" applyFill="0" applyBorder="0" applyAlignment="0" applyProtection="0"/>
  </cellStyleXfs>
  <cellXfs count="64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>
      <alignment vertical="top" wrapText="1"/>
    </xf>
    <xf numFmtId="0" fontId="0" fillId="3" borderId="6" xfId="0" applyFill="1" applyBorder="1">
      <alignment vertical="top" wrapText="1"/>
    </xf>
    <xf numFmtId="0" fontId="0" fillId="3" borderId="7" xfId="0" applyFill="1" applyBorder="1">
      <alignment vertical="top" wrapText="1"/>
    </xf>
    <xf numFmtId="0" fontId="4" fillId="3" borderId="8" xfId="0" applyFont="1" applyFill="1" applyBorder="1">
      <alignment vertical="top" wrapText="1"/>
    </xf>
    <xf numFmtId="0" fontId="0" fillId="3" borderId="8" xfId="0" applyFill="1" applyBorder="1">
      <alignment vertical="top" wrapText="1"/>
    </xf>
    <xf numFmtId="0" fontId="0" fillId="2" borderId="8" xfId="0" applyFill="1" applyBorder="1">
      <alignment vertical="top" wrapText="1"/>
    </xf>
    <xf numFmtId="0" fontId="4" fillId="3" borderId="5" xfId="0" applyFont="1" applyFill="1" applyBorder="1">
      <alignment vertical="top" wrapText="1"/>
    </xf>
    <xf numFmtId="0" fontId="0" fillId="2" borderId="7" xfId="0" applyFill="1" applyBorder="1">
      <alignment vertical="top" wrapText="1"/>
    </xf>
    <xf numFmtId="49" fontId="4" fillId="3" borderId="8" xfId="0" applyNumberFormat="1" applyFont="1" applyFill="1" applyBorder="1">
      <alignment vertical="top" wrapText="1"/>
    </xf>
    <xf numFmtId="49" fontId="0" fillId="3" borderId="8" xfId="0" applyNumberFormat="1" applyFill="1" applyBorder="1">
      <alignment vertical="top" wrapText="1"/>
    </xf>
    <xf numFmtId="49" fontId="0" fillId="4" borderId="5" xfId="0" applyNumberFormat="1" applyFill="1" applyBorder="1">
      <alignment vertical="top" wrapText="1"/>
    </xf>
    <xf numFmtId="3" fontId="0" fillId="2" borderId="6" xfId="0" applyNumberFormat="1" applyFill="1" applyBorder="1">
      <alignment vertical="top" wrapText="1"/>
    </xf>
    <xf numFmtId="3" fontId="0" fillId="2" borderId="7" xfId="0" applyNumberFormat="1" applyFill="1" applyBorder="1">
      <alignment vertical="top" wrapText="1"/>
    </xf>
    <xf numFmtId="165" fontId="0" fillId="2" borderId="8" xfId="0" applyNumberFormat="1" applyFill="1" applyBorder="1">
      <alignment vertical="top" wrapText="1"/>
    </xf>
    <xf numFmtId="3" fontId="0" fillId="2" borderId="9" xfId="0" applyNumberFormat="1" applyFill="1" applyBorder="1">
      <alignment vertical="top" wrapText="1"/>
    </xf>
    <xf numFmtId="3" fontId="0" fillId="2" borderId="10" xfId="0" applyNumberFormat="1" applyFill="1" applyBorder="1">
      <alignment vertical="top" wrapText="1"/>
    </xf>
    <xf numFmtId="165" fontId="0" fillId="2" borderId="11" xfId="0" applyNumberFormat="1" applyFill="1" applyBorder="1">
      <alignment vertical="top" wrapText="1"/>
    </xf>
    <xf numFmtId="0" fontId="4" fillId="4" borderId="5" xfId="0" applyFont="1" applyFill="1" applyBorder="1">
      <alignment vertical="top" wrapText="1"/>
    </xf>
    <xf numFmtId="3" fontId="0" fillId="2" borderId="12" xfId="0" applyNumberFormat="1" applyFill="1" applyBorder="1">
      <alignment vertical="top" wrapText="1"/>
    </xf>
    <xf numFmtId="3" fontId="0" fillId="2" borderId="13" xfId="0" applyNumberFormat="1" applyFill="1" applyBorder="1">
      <alignment vertical="top" wrapText="1"/>
    </xf>
    <xf numFmtId="165" fontId="4" fillId="2" borderId="14" xfId="0" applyNumberFormat="1" applyFont="1" applyFill="1" applyBorder="1">
      <alignment vertical="top" wrapText="1"/>
    </xf>
    <xf numFmtId="165" fontId="4" fillId="2" borderId="8" xfId="0" applyNumberFormat="1" applyFont="1" applyFill="1" applyBorder="1">
      <alignment vertical="top" wrapText="1"/>
    </xf>
    <xf numFmtId="49" fontId="4" fillId="4" borderId="5" xfId="0" applyNumberFormat="1" applyFont="1" applyFill="1" applyBorder="1">
      <alignment vertical="top" wrapText="1"/>
    </xf>
    <xf numFmtId="49" fontId="5" fillId="2" borderId="6" xfId="0" applyNumberFormat="1" applyFont="1" applyFill="1" applyBorder="1" applyAlignment="1">
      <alignment horizontal="right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49" fontId="0" fillId="4" borderId="8" xfId="0" applyNumberFormat="1" applyFill="1" applyBorder="1">
      <alignment vertical="top" wrapText="1"/>
    </xf>
    <xf numFmtId="3" fontId="0" fillId="2" borderId="8" xfId="0" applyNumberFormat="1" applyFill="1" applyBorder="1">
      <alignment vertical="top" wrapText="1"/>
    </xf>
    <xf numFmtId="165" fontId="0" fillId="2" borderId="14" xfId="0" applyNumberFormat="1" applyFill="1" applyBorder="1">
      <alignment vertical="top" wrapText="1"/>
    </xf>
    <xf numFmtId="3" fontId="0" fillId="2" borderId="15" xfId="0" applyNumberFormat="1" applyFill="1" applyBorder="1">
      <alignment vertical="top" wrapText="1"/>
    </xf>
    <xf numFmtId="3" fontId="4" fillId="2" borderId="6" xfId="0" applyNumberFormat="1" applyFont="1" applyFill="1" applyBorder="1">
      <alignment vertical="top" wrapText="1"/>
    </xf>
    <xf numFmtId="3" fontId="4" fillId="2" borderId="13" xfId="0" applyNumberFormat="1" applyFont="1" applyFill="1" applyBorder="1">
      <alignment vertical="top" wrapText="1"/>
    </xf>
    <xf numFmtId="49" fontId="0" fillId="2" borderId="6" xfId="0" applyNumberFormat="1" applyFill="1" applyBorder="1" applyAlignment="1">
      <alignment horizontal="right" vertical="top" wrapText="1"/>
    </xf>
    <xf numFmtId="165" fontId="5" fillId="2" borderId="8" xfId="0" applyNumberFormat="1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horizontal="right" vertical="top" wrapText="1"/>
    </xf>
    <xf numFmtId="3" fontId="0" fillId="2" borderId="16" xfId="0" applyNumberFormat="1" applyFill="1" applyBorder="1">
      <alignment vertical="top" wrapText="1"/>
    </xf>
    <xf numFmtId="3" fontId="5" fillId="2" borderId="9" xfId="0" applyNumberFormat="1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right" vertical="top" wrapText="1"/>
    </xf>
    <xf numFmtId="3" fontId="5" fillId="2" borderId="18" xfId="0" applyNumberFormat="1" applyFont="1" applyFill="1" applyBorder="1" applyAlignment="1">
      <alignment horizontal="right" vertical="top" wrapText="1"/>
    </xf>
    <xf numFmtId="49" fontId="5" fillId="2" borderId="11" xfId="0" applyNumberFormat="1" applyFont="1" applyFill="1" applyBorder="1" applyAlignment="1">
      <alignment horizontal="center" vertical="center" wrapText="1"/>
    </xf>
    <xf numFmtId="3" fontId="0" fillId="2" borderId="19" xfId="0" applyNumberFormat="1" applyFill="1" applyBorder="1">
      <alignment vertical="top" wrapText="1"/>
    </xf>
    <xf numFmtId="3" fontId="0" fillId="2" borderId="20" xfId="0" applyNumberFormat="1" applyFill="1" applyBorder="1">
      <alignment vertical="top" wrapText="1"/>
    </xf>
    <xf numFmtId="3" fontId="4" fillId="2" borderId="12" xfId="0" applyNumberFormat="1" applyFont="1" applyFill="1" applyBorder="1">
      <alignment vertical="top" wrapText="1"/>
    </xf>
    <xf numFmtId="165" fontId="4" fillId="2" borderId="11" xfId="0" applyNumberFormat="1" applyFont="1" applyFill="1" applyBorder="1">
      <alignment vertical="top" wrapText="1"/>
    </xf>
    <xf numFmtId="49" fontId="4" fillId="2" borderId="6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166" fontId="4" fillId="2" borderId="21" xfId="0" applyNumberFormat="1" applyFont="1" applyFill="1" applyBorder="1">
      <alignment vertical="top" wrapText="1"/>
    </xf>
    <xf numFmtId="49" fontId="4" fillId="2" borderId="8" xfId="0" applyNumberFormat="1" applyFont="1" applyFill="1" applyBorder="1" applyAlignment="1">
      <alignment horizontal="right" vertical="top" wrapText="1"/>
    </xf>
    <xf numFmtId="166" fontId="4" fillId="2" borderId="22" xfId="0" applyNumberFormat="1" applyFont="1" applyFill="1" applyBorder="1">
      <alignment vertical="top" wrapText="1"/>
    </xf>
    <xf numFmtId="165" fontId="4" fillId="2" borderId="22" xfId="0" applyNumberFormat="1" applyFont="1" applyFill="1" applyBorder="1">
      <alignment vertical="top" wrapText="1"/>
    </xf>
    <xf numFmtId="165" fontId="4" fillId="2" borderId="8" xfId="0" applyNumberFormat="1" applyFont="1" applyFill="1" applyBorder="1" applyAlignment="1">
      <alignment horizontal="right" vertical="top" wrapText="1"/>
    </xf>
    <xf numFmtId="165" fontId="5" fillId="2" borderId="8" xfId="0" applyNumberFormat="1" applyFont="1" applyFill="1" applyBorder="1">
      <alignment vertical="top" wrapText="1"/>
    </xf>
    <xf numFmtId="165" fontId="5" fillId="2" borderId="11" xfId="0" applyNumberFormat="1" applyFont="1" applyFill="1" applyBorder="1">
      <alignment vertical="top" wrapText="1"/>
    </xf>
    <xf numFmtId="3" fontId="6" fillId="2" borderId="21" xfId="0" applyNumberFormat="1" applyFont="1" applyFill="1" applyBorder="1">
      <alignment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14" xfId="0" applyFont="1" applyFill="1" applyBorder="1">
      <alignment vertical="top" wrapText="1"/>
    </xf>
    <xf numFmtId="0" fontId="0" fillId="2" borderId="14" xfId="0" applyFill="1" applyBorder="1">
      <alignment vertical="top" wrapText="1"/>
    </xf>
    <xf numFmtId="3" fontId="0" fillId="2" borderId="6" xfId="0" applyNumberFormat="1" applyFill="1" applyBorder="1" applyAlignment="1">
      <alignment horizontal="right" vertical="top" wrapText="1"/>
    </xf>
    <xf numFmtId="166" fontId="0" fillId="2" borderId="15" xfId="0" applyNumberFormat="1" applyFill="1" applyBorder="1">
      <alignment vertical="top" wrapText="1"/>
    </xf>
    <xf numFmtId="166" fontId="5" fillId="2" borderId="11" xfId="0" applyNumberFormat="1" applyFont="1" applyFill="1" applyBorder="1">
      <alignment vertical="top" wrapText="1"/>
    </xf>
    <xf numFmtId="166" fontId="0" fillId="2" borderId="11" xfId="0" applyNumberFormat="1" applyFill="1" applyBorder="1">
      <alignment vertical="top" wrapText="1"/>
    </xf>
    <xf numFmtId="3" fontId="4" fillId="2" borderId="21" xfId="0" applyNumberFormat="1" applyFont="1" applyFill="1" applyBorder="1">
      <alignment vertical="top" wrapText="1"/>
    </xf>
    <xf numFmtId="3" fontId="7" fillId="2" borderId="6" xfId="0" applyNumberFormat="1" applyFont="1" applyFill="1" applyBorder="1">
      <alignment vertical="top" wrapText="1"/>
    </xf>
    <xf numFmtId="165" fontId="5" fillId="2" borderId="23" xfId="0" applyNumberFormat="1" applyFont="1" applyFill="1" applyBorder="1" applyAlignment="1">
      <alignment horizontal="right" vertical="top" wrapText="1"/>
    </xf>
    <xf numFmtId="3" fontId="0" fillId="5" borderId="7" xfId="0" applyNumberFormat="1" applyFill="1" applyBorder="1">
      <alignment vertical="top" wrapText="1"/>
    </xf>
    <xf numFmtId="165" fontId="4" fillId="5" borderId="8" xfId="0" applyNumberFormat="1" applyFont="1" applyFill="1" applyBorder="1">
      <alignment vertical="top" wrapText="1"/>
    </xf>
    <xf numFmtId="0" fontId="0" fillId="5" borderId="8" xfId="0" applyFill="1" applyBorder="1">
      <alignment vertical="top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>
      <alignment vertical="top" wrapText="1"/>
    </xf>
    <xf numFmtId="0" fontId="0" fillId="6" borderId="8" xfId="0" applyFill="1" applyBorder="1">
      <alignment vertical="top" wrapText="1"/>
    </xf>
    <xf numFmtId="49" fontId="8" fillId="6" borderId="25" xfId="0" applyNumberFormat="1" applyFont="1" applyFill="1" applyBorder="1" applyAlignment="1">
      <alignment horizontal="center" vertical="center" wrapText="1"/>
    </xf>
    <xf numFmtId="2" fontId="8" fillId="6" borderId="8" xfId="0" applyNumberFormat="1" applyFont="1" applyFill="1" applyBorder="1">
      <alignment vertical="top" wrapText="1"/>
    </xf>
    <xf numFmtId="49" fontId="8" fillId="6" borderId="26" xfId="0" applyNumberFormat="1" applyFont="1" applyFill="1" applyBorder="1" applyAlignment="1">
      <alignment horizontal="center" vertical="center" wrapText="1"/>
    </xf>
    <xf numFmtId="49" fontId="0" fillId="6" borderId="8" xfId="0" applyNumberFormat="1" applyFill="1" applyBorder="1">
      <alignment vertical="top" wrapText="1"/>
    </xf>
    <xf numFmtId="49" fontId="8" fillId="6" borderId="27" xfId="0" applyNumberFormat="1" applyFont="1" applyFill="1" applyBorder="1" applyAlignment="1">
      <alignment horizontal="center" vertical="center" wrapText="1"/>
    </xf>
    <xf numFmtId="49" fontId="0" fillId="6" borderId="27" xfId="0" applyNumberFormat="1" applyFill="1" applyBorder="1">
      <alignment vertical="top" wrapText="1"/>
    </xf>
    <xf numFmtId="0" fontId="0" fillId="6" borderId="27" xfId="0" applyFill="1" applyBorder="1">
      <alignment vertical="top" wrapText="1"/>
    </xf>
    <xf numFmtId="49" fontId="9" fillId="4" borderId="28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>
      <alignment vertical="top" wrapText="1"/>
    </xf>
    <xf numFmtId="4" fontId="8" fillId="4" borderId="29" xfId="0" applyNumberFormat="1" applyFont="1" applyFill="1" applyBorder="1">
      <alignment vertical="top" wrapText="1"/>
    </xf>
    <xf numFmtId="4" fontId="8" fillId="2" borderId="30" xfId="0" applyNumberFormat="1" applyFont="1" applyFill="1" applyBorder="1">
      <alignment vertical="top" wrapText="1"/>
    </xf>
    <xf numFmtId="4" fontId="8" fillId="2" borderId="28" xfId="0" applyNumberFormat="1" applyFont="1" applyFill="1" applyBorder="1">
      <alignment vertical="top" wrapText="1"/>
    </xf>
    <xf numFmtId="14" fontId="8" fillId="4" borderId="8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>
      <alignment vertical="top" wrapText="1"/>
    </xf>
    <xf numFmtId="2" fontId="8" fillId="4" borderId="5" xfId="0" applyNumberFormat="1" applyFont="1" applyFill="1" applyBorder="1">
      <alignment vertical="top" wrapText="1"/>
    </xf>
    <xf numFmtId="2" fontId="8" fillId="2" borderId="7" xfId="0" applyNumberFormat="1" applyFont="1" applyFill="1" applyBorder="1">
      <alignment vertical="top" wrapText="1"/>
    </xf>
    <xf numFmtId="2" fontId="8" fillId="2" borderId="8" xfId="0" applyNumberFormat="1" applyFont="1" applyFill="1" applyBorder="1">
      <alignment vertical="top" wrapText="1"/>
    </xf>
    <xf numFmtId="4" fontId="8" fillId="4" borderId="5" xfId="0" applyNumberFormat="1" applyFont="1" applyFill="1" applyBorder="1">
      <alignment vertical="top" wrapText="1"/>
    </xf>
    <xf numFmtId="4" fontId="8" fillId="2" borderId="7" xfId="0" applyNumberFormat="1" applyFont="1" applyFill="1" applyBorder="1">
      <alignment vertical="top" wrapText="1"/>
    </xf>
    <xf numFmtId="4" fontId="8" fillId="2" borderId="8" xfId="0" applyNumberFormat="1" applyFont="1" applyFill="1" applyBorder="1">
      <alignment vertical="top" wrapText="1"/>
    </xf>
    <xf numFmtId="49" fontId="9" fillId="4" borderId="8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>
      <alignment vertical="top" wrapText="1"/>
    </xf>
    <xf numFmtId="0" fontId="8" fillId="2" borderId="7" xfId="0" applyFont="1" applyFill="1" applyBorder="1">
      <alignment vertical="top" wrapText="1"/>
    </xf>
    <xf numFmtId="49" fontId="8" fillId="2" borderId="7" xfId="0" applyNumberFormat="1" applyFont="1" applyFill="1" applyBorder="1">
      <alignment vertical="top" wrapText="1"/>
    </xf>
    <xf numFmtId="4" fontId="8" fillId="4" borderId="8" xfId="0" applyNumberFormat="1" applyFont="1" applyFill="1" applyBorder="1">
      <alignment vertical="top" wrapText="1"/>
    </xf>
    <xf numFmtId="4" fontId="8" fillId="4" borderId="7" xfId="0" applyNumberFormat="1" applyFont="1" applyFill="1" applyBorder="1">
      <alignment vertical="top" wrapText="1"/>
    </xf>
    <xf numFmtId="0" fontId="8" fillId="4" borderId="8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right" vertical="top" wrapText="1"/>
    </xf>
    <xf numFmtId="49" fontId="9" fillId="4" borderId="8" xfId="0" applyNumberFormat="1" applyFont="1" applyFill="1" applyBorder="1" applyAlignment="1">
      <alignment horizontal="left" vertical="center" wrapText="1"/>
    </xf>
    <xf numFmtId="0" fontId="0" fillId="4" borderId="8" xfId="0" applyFill="1" applyBorder="1">
      <alignment vertical="top" wrapText="1"/>
    </xf>
    <xf numFmtId="49" fontId="9" fillId="4" borderId="8" xfId="0" applyNumberFormat="1" applyFont="1" applyFill="1" applyBorder="1">
      <alignment vertical="top" wrapText="1"/>
    </xf>
    <xf numFmtId="4" fontId="9" fillId="4" borderId="5" xfId="0" applyNumberFormat="1" applyFont="1" applyFill="1" applyBorder="1">
      <alignment vertical="top" wrapText="1"/>
    </xf>
    <xf numFmtId="4" fontId="9" fillId="2" borderId="8" xfId="0" applyNumberFormat="1" applyFont="1" applyFill="1" applyBorder="1">
      <alignment vertical="top" wrapText="1"/>
    </xf>
    <xf numFmtId="0" fontId="0" fillId="4" borderId="5" xfId="0" applyFill="1" applyBorder="1">
      <alignment vertical="top" wrapText="1"/>
    </xf>
    <xf numFmtId="4" fontId="9" fillId="2" borderId="7" xfId="0" applyNumberFormat="1" applyFont="1" applyFill="1" applyBorder="1">
      <alignment vertical="top" wrapText="1"/>
    </xf>
    <xf numFmtId="49" fontId="8" fillId="2" borderId="8" xfId="0" applyNumberFormat="1" applyFont="1" applyFill="1" applyBorder="1">
      <alignment vertical="top" wrapText="1"/>
    </xf>
    <xf numFmtId="0" fontId="0" fillId="8" borderId="36" xfId="0" applyFill="1" applyBorder="1">
      <alignment vertical="top" wrapText="1"/>
    </xf>
    <xf numFmtId="0" fontId="0" fillId="0" borderId="37" xfId="0" applyBorder="1">
      <alignment vertical="top" wrapText="1"/>
    </xf>
    <xf numFmtId="0" fontId="0" fillId="0" borderId="31" xfId="0" applyBorder="1">
      <alignment vertical="top" wrapText="1"/>
    </xf>
    <xf numFmtId="49" fontId="12" fillId="7" borderId="31" xfId="0" applyNumberFormat="1" applyFont="1" applyFill="1" applyBorder="1">
      <alignment vertical="top" wrapText="1"/>
    </xf>
    <xf numFmtId="0" fontId="11" fillId="7" borderId="31" xfId="0" applyFont="1" applyFill="1" applyBorder="1">
      <alignment vertical="top" wrapText="1"/>
    </xf>
    <xf numFmtId="49" fontId="11" fillId="7" borderId="31" xfId="0" applyNumberFormat="1" applyFont="1" applyFill="1" applyBorder="1">
      <alignment vertical="top" wrapText="1"/>
    </xf>
    <xf numFmtId="49" fontId="11" fillId="8" borderId="35" xfId="0" applyNumberFormat="1" applyFont="1" applyFill="1" applyBorder="1" applyAlignment="1">
      <alignment horizontal="center" vertical="top" wrapText="1"/>
    </xf>
    <xf numFmtId="49" fontId="11" fillId="8" borderId="35" xfId="0" applyNumberFormat="1" applyFont="1" applyFill="1" applyBorder="1">
      <alignment vertical="top" wrapText="1"/>
    </xf>
    <xf numFmtId="4" fontId="11" fillId="8" borderId="33" xfId="0" applyNumberFormat="1" applyFont="1" applyFill="1" applyBorder="1">
      <alignment vertical="top" wrapText="1"/>
    </xf>
    <xf numFmtId="4" fontId="11" fillId="0" borderId="34" xfId="0" applyNumberFormat="1" applyFont="1" applyBorder="1" applyAlignment="1">
      <alignment horizontal="left" vertical="top" wrapText="1"/>
    </xf>
    <xf numFmtId="4" fontId="11" fillId="0" borderId="35" xfId="0" applyNumberFormat="1" applyFont="1" applyBorder="1">
      <alignment vertical="top" wrapText="1"/>
    </xf>
    <xf numFmtId="0" fontId="11" fillId="8" borderId="31" xfId="0" applyFont="1" applyFill="1" applyBorder="1" applyAlignment="1">
      <alignment horizontal="center" vertical="top" wrapText="1"/>
    </xf>
    <xf numFmtId="0" fontId="11" fillId="8" borderId="31" xfId="0" applyFont="1" applyFill="1" applyBorder="1">
      <alignment vertical="top" wrapText="1"/>
    </xf>
    <xf numFmtId="4" fontId="11" fillId="8" borderId="36" xfId="0" applyNumberFormat="1" applyFont="1" applyFill="1" applyBorder="1" applyAlignment="1">
      <alignment horizontal="right" vertical="top" wrapText="1"/>
    </xf>
    <xf numFmtId="4" fontId="11" fillId="0" borderId="31" xfId="0" applyNumberFormat="1" applyFont="1" applyBorder="1">
      <alignment vertical="top" wrapText="1"/>
    </xf>
    <xf numFmtId="4" fontId="11" fillId="8" borderId="36" xfId="0" applyNumberFormat="1" applyFont="1" applyFill="1" applyBorder="1">
      <alignment vertical="top" wrapText="1"/>
    </xf>
    <xf numFmtId="4" fontId="11" fillId="0" borderId="37" xfId="0" applyNumberFormat="1" applyFont="1" applyBorder="1" applyAlignment="1">
      <alignment horizontal="left" vertical="top" wrapText="1"/>
    </xf>
    <xf numFmtId="0" fontId="11" fillId="0" borderId="31" xfId="0" applyFont="1" applyBorder="1">
      <alignment vertical="top" wrapText="1"/>
    </xf>
    <xf numFmtId="4" fontId="13" fillId="8" borderId="36" xfId="0" applyNumberFormat="1" applyFont="1" applyFill="1" applyBorder="1">
      <alignment vertical="top" wrapText="1"/>
    </xf>
    <xf numFmtId="0" fontId="13" fillId="0" borderId="37" xfId="0" applyFont="1" applyBorder="1" applyAlignment="1">
      <alignment horizontal="left" vertical="top" wrapText="1"/>
    </xf>
    <xf numFmtId="49" fontId="11" fillId="8" borderId="31" xfId="0" applyNumberFormat="1" applyFont="1" applyFill="1" applyBorder="1" applyAlignment="1">
      <alignment horizontal="center" vertical="top" wrapText="1"/>
    </xf>
    <xf numFmtId="4" fontId="11" fillId="0" borderId="38" xfId="0" applyNumberFormat="1" applyFont="1" applyBorder="1">
      <alignment vertical="top" wrapText="1"/>
    </xf>
    <xf numFmtId="49" fontId="2" fillId="2" borderId="8" xfId="0" applyNumberFormat="1" applyFont="1" applyFill="1" applyBorder="1" applyAlignment="1">
      <alignment horizontal="center" vertical="center"/>
    </xf>
    <xf numFmtId="0" fontId="14" fillId="3" borderId="25" xfId="0" applyFont="1" applyFill="1" applyBorder="1">
      <alignment vertical="top" wrapText="1"/>
    </xf>
    <xf numFmtId="49" fontId="14" fillId="3" borderId="26" xfId="0" applyNumberFormat="1" applyFont="1" applyFill="1" applyBorder="1">
      <alignment vertical="top" wrapText="1"/>
    </xf>
    <xf numFmtId="49" fontId="8" fillId="6" borderId="27" xfId="0" applyNumberFormat="1" applyFont="1" applyFill="1" applyBorder="1">
      <alignment vertical="top" wrapText="1"/>
    </xf>
    <xf numFmtId="2" fontId="8" fillId="6" borderId="27" xfId="0" applyNumberFormat="1" applyFont="1" applyFill="1" applyBorder="1">
      <alignment vertical="top" wrapText="1"/>
    </xf>
    <xf numFmtId="49" fontId="10" fillId="2" borderId="7" xfId="0" applyNumberFormat="1" applyFont="1" applyFill="1" applyBorder="1">
      <alignment vertical="top" wrapText="1"/>
    </xf>
    <xf numFmtId="0" fontId="0" fillId="2" borderId="40" xfId="0" applyFill="1" applyBorder="1">
      <alignment vertical="top" wrapText="1"/>
    </xf>
    <xf numFmtId="4" fontId="10" fillId="2" borderId="8" xfId="0" applyNumberFormat="1" applyFont="1" applyFill="1" applyBorder="1">
      <alignment vertical="top" wrapText="1"/>
    </xf>
    <xf numFmtId="49" fontId="10" fillId="2" borderId="8" xfId="0" applyNumberFormat="1" applyFont="1" applyFill="1" applyBorder="1">
      <alignment vertical="top" wrapText="1"/>
    </xf>
    <xf numFmtId="0" fontId="0" fillId="2" borderId="41" xfId="0" applyFill="1" applyBorder="1">
      <alignment vertical="top" wrapText="1"/>
    </xf>
    <xf numFmtId="0" fontId="0" fillId="2" borderId="42" xfId="0" applyFill="1" applyBorder="1">
      <alignment vertical="top" wrapText="1"/>
    </xf>
    <xf numFmtId="49" fontId="8" fillId="4" borderId="8" xfId="0" applyNumberFormat="1" applyFont="1" applyFill="1" applyBorder="1" applyAlignment="1">
      <alignment horizontal="left" vertical="top" wrapText="1"/>
    </xf>
    <xf numFmtId="49" fontId="8" fillId="4" borderId="8" xfId="0" applyNumberFormat="1" applyFont="1" applyFill="1" applyBorder="1" applyAlignment="1">
      <alignment horizontal="left" vertical="center" wrapText="1"/>
    </xf>
    <xf numFmtId="0" fontId="11" fillId="4" borderId="8" xfId="0" applyNumberFormat="1" applyFont="1" applyFill="1" applyBorder="1">
      <alignment vertical="top" wrapText="1"/>
    </xf>
    <xf numFmtId="4" fontId="8" fillId="2" borderId="43" xfId="0" applyNumberFormat="1" applyFont="1" applyFill="1" applyBorder="1">
      <alignment vertical="top" wrapText="1"/>
    </xf>
    <xf numFmtId="4" fontId="8" fillId="2" borderId="44" xfId="0" applyNumberFormat="1" applyFont="1" applyFill="1" applyBorder="1">
      <alignment vertical="top" wrapText="1"/>
    </xf>
    <xf numFmtId="49" fontId="8" fillId="4" borderId="45" xfId="0" applyNumberFormat="1" applyFont="1" applyFill="1" applyBorder="1" applyAlignment="1">
      <alignment horizontal="left" vertical="center" wrapText="1"/>
    </xf>
    <xf numFmtId="49" fontId="10" fillId="4" borderId="8" xfId="0" applyNumberFormat="1" applyFont="1" applyFill="1" applyBorder="1">
      <alignment vertical="top" wrapText="1"/>
    </xf>
    <xf numFmtId="4" fontId="8" fillId="4" borderId="46" xfId="0" applyNumberFormat="1" applyFont="1" applyFill="1" applyBorder="1">
      <alignment vertical="top" wrapText="1"/>
    </xf>
    <xf numFmtId="4" fontId="8" fillId="2" borderId="47" xfId="0" applyNumberFormat="1" applyFont="1" applyFill="1" applyBorder="1">
      <alignment vertical="top" wrapText="1"/>
    </xf>
    <xf numFmtId="4" fontId="8" fillId="2" borderId="48" xfId="0" applyNumberFormat="1" applyFont="1" applyFill="1" applyBorder="1">
      <alignment vertical="top" wrapText="1"/>
    </xf>
    <xf numFmtId="4" fontId="8" fillId="2" borderId="49" xfId="0" applyNumberFormat="1" applyFont="1" applyFill="1" applyBorder="1">
      <alignment vertical="top" wrapText="1"/>
    </xf>
    <xf numFmtId="4" fontId="8" fillId="2" borderId="50" xfId="0" applyNumberFormat="1" applyFont="1" applyFill="1" applyBorder="1">
      <alignment vertical="top" wrapText="1"/>
    </xf>
    <xf numFmtId="4" fontId="8" fillId="2" borderId="51" xfId="0" applyNumberFormat="1" applyFont="1" applyFill="1" applyBorder="1">
      <alignment vertical="top" wrapText="1"/>
    </xf>
    <xf numFmtId="4" fontId="8" fillId="2" borderId="52" xfId="0" applyNumberFormat="1" applyFont="1" applyFill="1" applyBorder="1">
      <alignment vertical="top" wrapText="1"/>
    </xf>
    <xf numFmtId="49" fontId="11" fillId="7" borderId="31" xfId="0" applyNumberFormat="1" applyFont="1" applyFill="1" applyBorder="1" applyAlignment="1">
      <alignment horizontal="center" vertical="top" wrapText="1"/>
    </xf>
    <xf numFmtId="0" fontId="11" fillId="7" borderId="31" xfId="0" applyFont="1" applyFill="1" applyBorder="1" applyAlignment="1">
      <alignment horizontal="left" vertical="top" wrapText="1"/>
    </xf>
    <xf numFmtId="49" fontId="11" fillId="7" borderId="32" xfId="0" applyNumberFormat="1" applyFont="1" applyFill="1" applyBorder="1">
      <alignment vertical="top" wrapText="1"/>
    </xf>
    <xf numFmtId="0" fontId="11" fillId="7" borderId="32" xfId="0" applyFont="1" applyFill="1" applyBorder="1" applyAlignment="1">
      <alignment horizontal="center" vertical="top" wrapText="1"/>
    </xf>
    <xf numFmtId="49" fontId="11" fillId="7" borderId="32" xfId="0" applyNumberFormat="1" applyFont="1" applyFill="1" applyBorder="1" applyAlignment="1">
      <alignment horizontal="left" vertical="top" wrapText="1"/>
    </xf>
    <xf numFmtId="49" fontId="11" fillId="0" borderId="35" xfId="0" applyNumberFormat="1" applyFont="1" applyBorder="1">
      <alignment vertical="top" wrapText="1"/>
    </xf>
    <xf numFmtId="49" fontId="11" fillId="8" borderId="31" xfId="0" applyNumberFormat="1" applyFont="1" applyFill="1" applyBorder="1">
      <alignment vertical="top" wrapText="1"/>
    </xf>
    <xf numFmtId="49" fontId="11" fillId="0" borderId="37" xfId="0" applyNumberFormat="1" applyFont="1" applyBorder="1" applyAlignment="1">
      <alignment horizontal="left" vertical="top" wrapText="1"/>
    </xf>
    <xf numFmtId="49" fontId="13" fillId="8" borderId="31" xfId="0" applyNumberFormat="1" applyFont="1" applyFill="1" applyBorder="1">
      <alignment vertical="top" wrapText="1"/>
    </xf>
    <xf numFmtId="49" fontId="13" fillId="0" borderId="37" xfId="0" applyNumberFormat="1" applyFont="1" applyBorder="1" applyAlignment="1">
      <alignment horizontal="left" vertical="top" wrapText="1"/>
    </xf>
    <xf numFmtId="167" fontId="11" fillId="0" borderId="37" xfId="0" applyNumberFormat="1" applyFont="1" applyBorder="1" applyAlignment="1">
      <alignment horizontal="left" vertical="top" wrapText="1"/>
    </xf>
    <xf numFmtId="49" fontId="11" fillId="8" borderId="31" xfId="0" applyNumberFormat="1" applyFont="1" applyFill="1" applyBorder="1" applyAlignment="1">
      <alignment horizontal="right" vertical="top" wrapText="1"/>
    </xf>
    <xf numFmtId="0" fontId="11" fillId="8" borderId="31" xfId="0" applyNumberFormat="1" applyFont="1" applyFill="1" applyBorder="1">
      <alignment vertical="top" wrapText="1"/>
    </xf>
    <xf numFmtId="49" fontId="8" fillId="6" borderId="8" xfId="0" applyNumberFormat="1" applyFont="1" applyFill="1" applyBorder="1">
      <alignment vertical="top" wrapText="1"/>
    </xf>
    <xf numFmtId="0" fontId="8" fillId="4" borderId="8" xfId="0" applyNumberFormat="1" applyFont="1" applyFill="1" applyBorder="1" applyAlignment="1">
      <alignment horizontal="left" vertical="top" wrapText="1"/>
    </xf>
    <xf numFmtId="49" fontId="11" fillId="6" borderId="8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>
      <alignment vertical="top" wrapText="1"/>
    </xf>
    <xf numFmtId="0" fontId="15" fillId="6" borderId="8" xfId="0" applyFont="1" applyFill="1" applyBorder="1">
      <alignment vertical="top" wrapText="1"/>
    </xf>
    <xf numFmtId="49" fontId="15" fillId="6" borderId="8" xfId="0" applyNumberFormat="1" applyFont="1" applyFill="1" applyBorder="1">
      <alignment vertical="top" wrapText="1"/>
    </xf>
    <xf numFmtId="49" fontId="11" fillId="6" borderId="27" xfId="0" applyNumberFormat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49" fontId="11" fillId="6" borderId="27" xfId="0" applyNumberFormat="1" applyFont="1" applyFill="1" applyBorder="1">
      <alignment vertical="top" wrapText="1"/>
    </xf>
    <xf numFmtId="0" fontId="11" fillId="6" borderId="27" xfId="0" applyFont="1" applyFill="1" applyBorder="1">
      <alignment vertical="top" wrapText="1"/>
    </xf>
    <xf numFmtId="49" fontId="15" fillId="6" borderId="27" xfId="0" applyNumberFormat="1" applyFont="1" applyFill="1" applyBorder="1">
      <alignment vertical="top" wrapText="1"/>
    </xf>
    <xf numFmtId="49" fontId="12" fillId="4" borderId="28" xfId="0" applyNumberFormat="1" applyFont="1" applyFill="1" applyBorder="1" applyAlignment="1">
      <alignment horizontal="center" vertical="center" wrapText="1"/>
    </xf>
    <xf numFmtId="49" fontId="11" fillId="4" borderId="28" xfId="0" applyNumberFormat="1" applyFont="1" applyFill="1" applyBorder="1" applyAlignment="1">
      <alignment horizontal="center" vertical="center" wrapText="1"/>
    </xf>
    <xf numFmtId="49" fontId="11" fillId="4" borderId="28" xfId="0" applyNumberFormat="1" applyFont="1" applyFill="1" applyBorder="1">
      <alignment vertical="top" wrapText="1"/>
    </xf>
    <xf numFmtId="4" fontId="11" fillId="4" borderId="29" xfId="0" applyNumberFormat="1" applyFont="1" applyFill="1" applyBorder="1">
      <alignment vertical="top" wrapText="1"/>
    </xf>
    <xf numFmtId="4" fontId="11" fillId="2" borderId="30" xfId="0" applyNumberFormat="1" applyFont="1" applyFill="1" applyBorder="1">
      <alignment vertical="top" wrapText="1"/>
    </xf>
    <xf numFmtId="4" fontId="11" fillId="2" borderId="28" xfId="0" applyNumberFormat="1" applyFont="1" applyFill="1" applyBorder="1">
      <alignment vertical="top" wrapText="1"/>
    </xf>
    <xf numFmtId="4" fontId="16" fillId="2" borderId="28" xfId="0" applyNumberFormat="1" applyFont="1" applyFill="1" applyBorder="1">
      <alignment vertical="top" wrapText="1"/>
    </xf>
    <xf numFmtId="14" fontId="11" fillId="4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>
      <alignment vertical="top" wrapText="1"/>
    </xf>
    <xf numFmtId="4" fontId="11" fillId="4" borderId="5" xfId="0" applyNumberFormat="1" applyFont="1" applyFill="1" applyBorder="1">
      <alignment vertical="top" wrapText="1"/>
    </xf>
    <xf numFmtId="4" fontId="11" fillId="2" borderId="7" xfId="0" applyNumberFormat="1" applyFont="1" applyFill="1" applyBorder="1">
      <alignment vertical="top" wrapText="1"/>
    </xf>
    <xf numFmtId="4" fontId="11" fillId="2" borderId="8" xfId="0" applyNumberFormat="1" applyFont="1" applyFill="1" applyBorder="1">
      <alignment vertical="top" wrapText="1"/>
    </xf>
    <xf numFmtId="4" fontId="16" fillId="2" borderId="8" xfId="0" applyNumberFormat="1" applyFont="1" applyFill="1" applyBorder="1">
      <alignment vertical="top" wrapText="1"/>
    </xf>
    <xf numFmtId="2" fontId="11" fillId="4" borderId="5" xfId="0" applyNumberFormat="1" applyFont="1" applyFill="1" applyBorder="1">
      <alignment vertical="top" wrapText="1"/>
    </xf>
    <xf numFmtId="2" fontId="11" fillId="2" borderId="7" xfId="0" applyNumberFormat="1" applyFont="1" applyFill="1" applyBorder="1">
      <alignment vertical="top" wrapText="1"/>
    </xf>
    <xf numFmtId="2" fontId="16" fillId="2" borderId="8" xfId="0" applyNumberFormat="1" applyFont="1" applyFill="1" applyBorder="1">
      <alignment vertical="top" wrapText="1"/>
    </xf>
    <xf numFmtId="2" fontId="11" fillId="2" borderId="8" xfId="0" applyNumberFormat="1" applyFont="1" applyFill="1" applyBorder="1">
      <alignment vertical="top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>
      <alignment vertical="top" wrapText="1"/>
    </xf>
    <xf numFmtId="49" fontId="11" fillId="2" borderId="7" xfId="0" applyNumberFormat="1" applyFont="1" applyFill="1" applyBorder="1">
      <alignment vertical="top" wrapText="1"/>
    </xf>
    <xf numFmtId="49" fontId="11" fillId="2" borderId="8" xfId="0" applyNumberFormat="1" applyFont="1" applyFill="1" applyBorder="1">
      <alignment vertical="top" wrapText="1"/>
    </xf>
    <xf numFmtId="49" fontId="16" fillId="2" borderId="8" xfId="0" applyNumberFormat="1" applyFont="1" applyFill="1" applyBorder="1">
      <alignment vertical="top" wrapText="1"/>
    </xf>
    <xf numFmtId="49" fontId="0" fillId="2" borderId="7" xfId="0" applyNumberFormat="1" applyFill="1" applyBorder="1">
      <alignment vertical="top" wrapText="1"/>
    </xf>
    <xf numFmtId="0" fontId="15" fillId="2" borderId="8" xfId="0" applyFont="1" applyFill="1" applyBorder="1">
      <alignment vertical="top" wrapText="1"/>
    </xf>
    <xf numFmtId="49" fontId="13" fillId="2" borderId="7" xfId="0" applyNumberFormat="1" applyFont="1" applyFill="1" applyBorder="1">
      <alignment vertical="top" wrapText="1"/>
    </xf>
    <xf numFmtId="49" fontId="11" fillId="4" borderId="8" xfId="0" applyNumberFormat="1" applyFont="1" applyFill="1" applyBorder="1" applyAlignment="1">
      <alignment horizontal="right" vertical="top" wrapText="1"/>
    </xf>
    <xf numFmtId="49" fontId="12" fillId="4" borderId="8" xfId="0" applyNumberFormat="1" applyFont="1" applyFill="1" applyBorder="1">
      <alignment vertical="top" wrapText="1"/>
    </xf>
    <xf numFmtId="4" fontId="12" fillId="4" borderId="5" xfId="0" applyNumberFormat="1" applyFont="1" applyFill="1" applyBorder="1">
      <alignment vertical="top" wrapText="1"/>
    </xf>
    <xf numFmtId="4" fontId="12" fillId="2" borderId="7" xfId="0" applyNumberFormat="1" applyFont="1" applyFill="1" applyBorder="1">
      <alignment vertical="top" wrapText="1"/>
    </xf>
    <xf numFmtId="4" fontId="12" fillId="2" borderId="8" xfId="0" applyNumberFormat="1" applyFont="1" applyFill="1" applyBorder="1">
      <alignment vertical="top" wrapText="1"/>
    </xf>
    <xf numFmtId="4" fontId="17" fillId="2" borderId="8" xfId="0" applyNumberFormat="1" applyFont="1" applyFill="1" applyBorder="1">
      <alignment vertical="top" wrapText="1"/>
    </xf>
    <xf numFmtId="0" fontId="9" fillId="4" borderId="8" xfId="0" applyFont="1" applyFill="1" applyBorder="1" applyAlignment="1">
      <alignment horizontal="left" vertical="center" wrapText="1"/>
    </xf>
    <xf numFmtId="0" fontId="14" fillId="3" borderId="55" xfId="0" applyFont="1" applyFill="1" applyBorder="1">
      <alignment vertical="top" wrapText="1"/>
    </xf>
    <xf numFmtId="0" fontId="14" fillId="3" borderId="56" xfId="0" applyFont="1" applyFill="1" applyBorder="1" applyAlignment="1">
      <alignment horizontal="left" vertical="top" wrapText="1"/>
    </xf>
    <xf numFmtId="2" fontId="14" fillId="3" borderId="57" xfId="0" applyNumberFormat="1" applyFont="1" applyFill="1" applyBorder="1">
      <alignment vertical="top" wrapText="1"/>
    </xf>
    <xf numFmtId="0" fontId="18" fillId="2" borderId="26" xfId="0" applyFont="1" applyFill="1" applyBorder="1">
      <alignment vertical="top" wrapText="1"/>
    </xf>
    <xf numFmtId="0" fontId="18" fillId="2" borderId="8" xfId="0" applyFont="1" applyFill="1" applyBorder="1">
      <alignment vertical="top" wrapText="1"/>
    </xf>
    <xf numFmtId="0" fontId="14" fillId="3" borderId="8" xfId="0" applyFont="1" applyFill="1" applyBorder="1">
      <alignment vertical="top" wrapText="1"/>
    </xf>
    <xf numFmtId="49" fontId="14" fillId="3" borderId="58" xfId="0" applyNumberFormat="1" applyFont="1" applyFill="1" applyBorder="1" applyAlignment="1">
      <alignment horizontal="left" vertical="top" wrapText="1"/>
    </xf>
    <xf numFmtId="2" fontId="14" fillId="3" borderId="59" xfId="0" applyNumberFormat="1" applyFont="1" applyFill="1" applyBorder="1">
      <alignment vertical="top" wrapText="1"/>
    </xf>
    <xf numFmtId="49" fontId="18" fillId="2" borderId="8" xfId="0" applyNumberFormat="1" applyFont="1" applyFill="1" applyBorder="1">
      <alignment vertical="top" wrapText="1"/>
    </xf>
    <xf numFmtId="49" fontId="4" fillId="2" borderId="8" xfId="0" applyNumberFormat="1" applyFont="1" applyFill="1" applyBorder="1">
      <alignment vertical="top" wrapText="1"/>
    </xf>
    <xf numFmtId="0" fontId="4" fillId="2" borderId="8" xfId="0" applyFont="1" applyFill="1" applyBorder="1">
      <alignment vertical="top" wrapText="1"/>
    </xf>
    <xf numFmtId="49" fontId="14" fillId="3" borderId="60" xfId="0" applyNumberFormat="1" applyFont="1" applyFill="1" applyBorder="1">
      <alignment vertical="top" wrapText="1"/>
    </xf>
    <xf numFmtId="49" fontId="14" fillId="3" borderId="27" xfId="0" applyNumberFormat="1" applyFont="1" applyFill="1" applyBorder="1">
      <alignment vertical="top" wrapText="1"/>
    </xf>
    <xf numFmtId="49" fontId="14" fillId="3" borderId="61" xfId="0" applyNumberFormat="1" applyFont="1" applyFill="1" applyBorder="1" applyAlignment="1">
      <alignment horizontal="left" vertical="top" wrapText="1"/>
    </xf>
    <xf numFmtId="2" fontId="14" fillId="3" borderId="62" xfId="0" applyNumberFormat="1" applyFont="1" applyFill="1" applyBorder="1">
      <alignment vertical="top" wrapText="1"/>
    </xf>
    <xf numFmtId="0" fontId="18" fillId="2" borderId="60" xfId="0" applyFont="1" applyFill="1" applyBorder="1">
      <alignment vertical="top" wrapText="1"/>
    </xf>
    <xf numFmtId="0" fontId="18" fillId="2" borderId="27" xfId="0" applyFont="1" applyFill="1" applyBorder="1">
      <alignment vertical="top" wrapText="1"/>
    </xf>
    <xf numFmtId="49" fontId="18" fillId="2" borderId="27" xfId="0" applyNumberFormat="1" applyFont="1" applyFill="1" applyBorder="1">
      <alignment vertical="top" wrapText="1"/>
    </xf>
    <xf numFmtId="4" fontId="20" fillId="3" borderId="66" xfId="0" applyNumberFormat="1" applyFont="1" applyFill="1" applyBorder="1" applyAlignment="1">
      <alignment vertical="top" wrapText="1" readingOrder="1"/>
    </xf>
    <xf numFmtId="4" fontId="21" fillId="2" borderId="67" xfId="0" applyNumberFormat="1" applyFont="1" applyFill="1" applyBorder="1" applyAlignment="1">
      <alignment vertical="top" wrapText="1" readingOrder="1"/>
    </xf>
    <xf numFmtId="4" fontId="21" fillId="2" borderId="68" xfId="0" applyNumberFormat="1" applyFont="1" applyFill="1" applyBorder="1" applyAlignment="1">
      <alignment vertical="top" wrapText="1" readingOrder="1"/>
    </xf>
    <xf numFmtId="4" fontId="21" fillId="2" borderId="69" xfId="0" applyNumberFormat="1" applyFont="1" applyFill="1" applyBorder="1" applyAlignment="1">
      <alignment vertical="top" wrapText="1" readingOrder="1"/>
    </xf>
    <xf numFmtId="14" fontId="19" fillId="3" borderId="70" xfId="0" applyNumberFormat="1" applyFont="1" applyFill="1" applyBorder="1" applyAlignment="1">
      <alignment horizontal="center" vertical="top" wrapText="1" readingOrder="1"/>
    </xf>
    <xf numFmtId="49" fontId="19" fillId="3" borderId="71" xfId="0" applyNumberFormat="1" applyFont="1" applyFill="1" applyBorder="1" applyAlignment="1">
      <alignment horizontal="center" vertical="top" wrapText="1" readingOrder="1"/>
    </xf>
    <xf numFmtId="0" fontId="19" fillId="3" borderId="72" xfId="0" applyNumberFormat="1" applyFont="1" applyFill="1" applyBorder="1" applyAlignment="1">
      <alignment horizontal="left" vertical="top" wrapText="1" readingOrder="1"/>
    </xf>
    <xf numFmtId="4" fontId="19" fillId="3" borderId="73" xfId="0" applyNumberFormat="1" applyFont="1" applyFill="1" applyBorder="1" applyAlignment="1">
      <alignment vertical="top" wrapText="1" readingOrder="1"/>
    </xf>
    <xf numFmtId="0" fontId="21" fillId="2" borderId="74" xfId="0" applyFont="1" applyFill="1" applyBorder="1" applyAlignment="1">
      <alignment vertical="top" wrapText="1" readingOrder="1"/>
    </xf>
    <xf numFmtId="4" fontId="19" fillId="2" borderId="75" xfId="0" applyNumberFormat="1" applyFont="1" applyFill="1" applyBorder="1" applyAlignment="1">
      <alignment vertical="top" wrapText="1" readingOrder="1"/>
    </xf>
    <xf numFmtId="4" fontId="21" fillId="2" borderId="75" xfId="0" applyNumberFormat="1" applyFont="1" applyFill="1" applyBorder="1" applyAlignment="1">
      <alignment vertical="top" wrapText="1" readingOrder="1"/>
    </xf>
    <xf numFmtId="49" fontId="19" fillId="3" borderId="72" xfId="0" applyNumberFormat="1" applyFont="1" applyFill="1" applyBorder="1" applyAlignment="1">
      <alignment horizontal="left" vertical="top" wrapText="1" readingOrder="1"/>
    </xf>
    <xf numFmtId="168" fontId="19" fillId="3" borderId="70" xfId="0" applyNumberFormat="1" applyFont="1" applyFill="1" applyBorder="1" applyAlignment="1">
      <alignment horizontal="center" vertical="top" wrapText="1" readingOrder="1"/>
    </xf>
    <xf numFmtId="49" fontId="19" fillId="3" borderId="76" xfId="0" applyNumberFormat="1" applyFont="1" applyFill="1" applyBorder="1" applyAlignment="1">
      <alignment horizontal="center" vertical="top" wrapText="1" readingOrder="1"/>
    </xf>
    <xf numFmtId="49" fontId="19" fillId="3" borderId="77" xfId="0" applyNumberFormat="1" applyFont="1" applyFill="1" applyBorder="1" applyAlignment="1">
      <alignment horizontal="left" vertical="top" wrapText="1" readingOrder="1"/>
    </xf>
    <xf numFmtId="0" fontId="20" fillId="3" borderId="71" xfId="0" applyFont="1" applyFill="1" applyBorder="1" applyAlignment="1">
      <alignment horizontal="center" vertical="top" wrapText="1" readingOrder="1"/>
    </xf>
    <xf numFmtId="0" fontId="20" fillId="3" borderId="72" xfId="0" applyFont="1" applyFill="1" applyBorder="1" applyAlignment="1">
      <alignment horizontal="left" vertical="top" wrapText="1" readingOrder="1"/>
    </xf>
    <xf numFmtId="4" fontId="20" fillId="3" borderId="73" xfId="0" applyNumberFormat="1" applyFont="1" applyFill="1" applyBorder="1" applyAlignment="1">
      <alignment vertical="top" wrapText="1" readingOrder="1"/>
    </xf>
    <xf numFmtId="4" fontId="21" fillId="2" borderId="74" xfId="0" applyNumberFormat="1" applyFont="1" applyFill="1" applyBorder="1" applyAlignment="1">
      <alignment vertical="top" wrapText="1" readingOrder="1"/>
    </xf>
    <xf numFmtId="14" fontId="19" fillId="3" borderId="78" xfId="0" applyNumberFormat="1" applyFont="1" applyFill="1" applyBorder="1" applyAlignment="1">
      <alignment horizontal="center" vertical="top" wrapText="1"/>
    </xf>
    <xf numFmtId="49" fontId="19" fillId="3" borderId="79" xfId="0" applyNumberFormat="1" applyFont="1" applyFill="1" applyBorder="1" applyAlignment="1">
      <alignment horizontal="center" vertical="top" wrapText="1"/>
    </xf>
    <xf numFmtId="49" fontId="19" fillId="3" borderId="80" xfId="0" applyNumberFormat="1" applyFont="1" applyFill="1" applyBorder="1" applyAlignment="1">
      <alignment horizontal="left" vertical="top" wrapText="1"/>
    </xf>
    <xf numFmtId="49" fontId="19" fillId="2" borderId="74" xfId="0" applyNumberFormat="1" applyFont="1" applyFill="1" applyBorder="1" applyAlignment="1">
      <alignment vertical="top" wrapText="1" readingOrder="1"/>
    </xf>
    <xf numFmtId="4" fontId="19" fillId="2" borderId="74" xfId="0" applyNumberFormat="1" applyFont="1" applyFill="1" applyBorder="1" applyAlignment="1">
      <alignment vertical="top" wrapText="1" readingOrder="1"/>
    </xf>
    <xf numFmtId="0" fontId="19" fillId="2" borderId="74" xfId="0" applyFont="1" applyFill="1" applyBorder="1" applyAlignment="1">
      <alignment vertical="top" wrapText="1" readingOrder="1"/>
    </xf>
    <xf numFmtId="0" fontId="22" fillId="2" borderId="81" xfId="0" applyFont="1" applyFill="1" applyBorder="1">
      <alignment vertical="top" wrapText="1"/>
    </xf>
    <xf numFmtId="4" fontId="19" fillId="2" borderId="82" xfId="0" applyNumberFormat="1" applyFont="1" applyFill="1" applyBorder="1" applyAlignment="1">
      <alignment vertical="top" wrapText="1" readingOrder="1"/>
    </xf>
    <xf numFmtId="4" fontId="23" fillId="2" borderId="75" xfId="0" applyNumberFormat="1" applyFont="1" applyFill="1" applyBorder="1" applyAlignment="1">
      <alignment vertical="top" wrapText="1" readingOrder="1"/>
    </xf>
    <xf numFmtId="14" fontId="19" fillId="3" borderId="83" xfId="0" applyNumberFormat="1" applyFont="1" applyFill="1" applyBorder="1" applyAlignment="1">
      <alignment horizontal="center" vertical="top" wrapText="1" readingOrder="1"/>
    </xf>
    <xf numFmtId="49" fontId="19" fillId="3" borderId="84" xfId="0" applyNumberFormat="1" applyFont="1" applyFill="1" applyBorder="1" applyAlignment="1">
      <alignment horizontal="center" vertical="top" wrapText="1" readingOrder="1"/>
    </xf>
    <xf numFmtId="49" fontId="19" fillId="3" borderId="85" xfId="0" applyNumberFormat="1" applyFont="1" applyFill="1" applyBorder="1" applyAlignment="1">
      <alignment horizontal="left" vertical="top" wrapText="1" readingOrder="1"/>
    </xf>
    <xf numFmtId="4" fontId="19" fillId="3" borderId="86" xfId="0" applyNumberFormat="1" applyFont="1" applyFill="1" applyBorder="1" applyAlignment="1">
      <alignment vertical="top" wrapText="1" readingOrder="1"/>
    </xf>
    <xf numFmtId="0" fontId="19" fillId="2" borderId="87" xfId="0" applyFont="1" applyFill="1" applyBorder="1" applyAlignment="1">
      <alignment vertical="top" wrapText="1" readingOrder="1"/>
    </xf>
    <xf numFmtId="4" fontId="19" fillId="2" borderId="88" xfId="0" applyNumberFormat="1" applyFont="1" applyFill="1" applyBorder="1" applyAlignment="1">
      <alignment vertical="top" wrapText="1" readingOrder="1"/>
    </xf>
    <xf numFmtId="0" fontId="0" fillId="2" borderId="81" xfId="0" applyFill="1" applyBorder="1">
      <alignment vertical="top" wrapText="1"/>
    </xf>
    <xf numFmtId="4" fontId="19" fillId="2" borderId="89" xfId="0" applyNumberFormat="1" applyFont="1" applyFill="1" applyBorder="1" applyAlignment="1">
      <alignment vertical="top" wrapText="1" readingOrder="1"/>
    </xf>
    <xf numFmtId="14" fontId="19" fillId="3" borderId="90" xfId="0" applyNumberFormat="1" applyFont="1" applyFill="1" applyBorder="1" applyAlignment="1">
      <alignment horizontal="center" vertical="top" wrapText="1" readingOrder="1"/>
    </xf>
    <xf numFmtId="49" fontId="19" fillId="3" borderId="91" xfId="0" applyNumberFormat="1" applyFont="1" applyFill="1" applyBorder="1">
      <alignment vertical="top" wrapText="1"/>
    </xf>
    <xf numFmtId="0" fontId="19" fillId="3" borderId="92" xfId="0" applyNumberFormat="1" applyFont="1" applyFill="1" applyBorder="1" applyAlignment="1">
      <alignment horizontal="left" vertical="top" wrapText="1"/>
    </xf>
    <xf numFmtId="2" fontId="19" fillId="3" borderId="93" xfId="0" applyNumberFormat="1" applyFont="1" applyFill="1" applyBorder="1">
      <alignment vertical="top" wrapText="1"/>
    </xf>
    <xf numFmtId="49" fontId="0" fillId="2" borderId="94" xfId="0" applyNumberFormat="1" applyFill="1" applyBorder="1">
      <alignment vertical="top" wrapText="1"/>
    </xf>
    <xf numFmtId="4" fontId="19" fillId="2" borderId="95" xfId="0" applyNumberFormat="1" applyFont="1" applyFill="1" applyBorder="1" applyAlignment="1">
      <alignment vertical="top" wrapText="1" readingOrder="1"/>
    </xf>
    <xf numFmtId="4" fontId="19" fillId="2" borderId="96" xfId="0" applyNumberFormat="1" applyFont="1" applyFill="1" applyBorder="1" applyAlignment="1">
      <alignment vertical="top" wrapText="1" readingOrder="1"/>
    </xf>
    <xf numFmtId="0" fontId="19" fillId="2" borderId="96" xfId="0" applyFont="1" applyFill="1" applyBorder="1" applyAlignment="1">
      <alignment vertical="top" wrapText="1" readingOrder="1"/>
    </xf>
    <xf numFmtId="49" fontId="19" fillId="3" borderId="91" xfId="0" applyNumberFormat="1" applyFont="1" applyFill="1" applyBorder="1" applyAlignment="1">
      <alignment horizontal="center" vertical="top" wrapText="1" readingOrder="1"/>
    </xf>
    <xf numFmtId="49" fontId="19" fillId="3" borderId="92" xfId="0" applyNumberFormat="1" applyFont="1" applyFill="1" applyBorder="1" applyAlignment="1">
      <alignment horizontal="left" vertical="top" wrapText="1" readingOrder="1"/>
    </xf>
    <xf numFmtId="49" fontId="19" fillId="2" borderId="87" xfId="0" applyNumberFormat="1" applyFont="1" applyFill="1" applyBorder="1" applyAlignment="1">
      <alignment vertical="top" wrapText="1" readingOrder="1"/>
    </xf>
    <xf numFmtId="4" fontId="19" fillId="3" borderId="97" xfId="0" applyNumberFormat="1" applyFont="1" applyFill="1" applyBorder="1" applyAlignment="1">
      <alignment vertical="top" wrapText="1" readingOrder="1"/>
    </xf>
    <xf numFmtId="49" fontId="19" fillId="2" borderId="98" xfId="0" applyNumberFormat="1" applyFont="1" applyFill="1" applyBorder="1" applyAlignment="1">
      <alignment vertical="top" wrapText="1" readingOrder="1"/>
    </xf>
    <xf numFmtId="0" fontId="19" fillId="2" borderId="98" xfId="0" applyFont="1" applyFill="1" applyBorder="1" applyAlignment="1">
      <alignment vertical="top" wrapText="1" readingOrder="1"/>
    </xf>
    <xf numFmtId="14" fontId="19" fillId="3" borderId="90" xfId="0" applyNumberFormat="1" applyFont="1" applyFill="1" applyBorder="1" applyAlignment="1">
      <alignment horizontal="center" vertical="top" wrapText="1"/>
    </xf>
    <xf numFmtId="2" fontId="19" fillId="3" borderId="97" xfId="0" applyNumberFormat="1" applyFont="1" applyFill="1" applyBorder="1">
      <alignment vertical="top" wrapText="1"/>
    </xf>
    <xf numFmtId="49" fontId="19" fillId="3" borderId="92" xfId="0" applyNumberFormat="1" applyFont="1" applyFill="1" applyBorder="1" applyAlignment="1">
      <alignment horizontal="left" vertical="top" wrapText="1"/>
    </xf>
    <xf numFmtId="4" fontId="19" fillId="3" borderId="97" xfId="0" applyNumberFormat="1" applyFont="1" applyFill="1" applyBorder="1">
      <alignment vertical="top" wrapText="1"/>
    </xf>
    <xf numFmtId="14" fontId="19" fillId="3" borderId="99" xfId="0" applyNumberFormat="1" applyFont="1" applyFill="1" applyBorder="1" applyAlignment="1">
      <alignment horizontal="center" vertical="top" wrapText="1"/>
    </xf>
    <xf numFmtId="49" fontId="19" fillId="3" borderId="100" xfId="0" applyNumberFormat="1" applyFont="1" applyFill="1" applyBorder="1">
      <alignment vertical="top" wrapText="1"/>
    </xf>
    <xf numFmtId="49" fontId="19" fillId="3" borderId="101" xfId="0" applyNumberFormat="1" applyFont="1" applyFill="1" applyBorder="1" applyAlignment="1">
      <alignment horizontal="left" vertical="top" wrapText="1"/>
    </xf>
    <xf numFmtId="2" fontId="19" fillId="3" borderId="102" xfId="0" applyNumberFormat="1" applyFont="1" applyFill="1" applyBorder="1">
      <alignment vertical="top" wrapText="1"/>
    </xf>
    <xf numFmtId="14" fontId="20" fillId="3" borderId="103" xfId="0" applyNumberFormat="1" applyFont="1" applyFill="1" applyBorder="1" applyAlignment="1">
      <alignment horizontal="center" vertical="top" wrapText="1"/>
    </xf>
    <xf numFmtId="0" fontId="20" fillId="3" borderId="104" xfId="0" applyFont="1" applyFill="1" applyBorder="1">
      <alignment vertical="top" wrapText="1"/>
    </xf>
    <xf numFmtId="0" fontId="20" fillId="3" borderId="105" xfId="0" applyFont="1" applyFill="1" applyBorder="1" applyAlignment="1">
      <alignment horizontal="left" vertical="top" wrapText="1"/>
    </xf>
    <xf numFmtId="2" fontId="20" fillId="3" borderId="106" xfId="0" applyNumberFormat="1" applyFont="1" applyFill="1" applyBorder="1">
      <alignment vertical="top" wrapText="1"/>
    </xf>
    <xf numFmtId="0" fontId="20" fillId="2" borderId="98" xfId="0" applyFont="1" applyFill="1" applyBorder="1" applyAlignment="1">
      <alignment vertical="top" wrapText="1" readingOrder="1"/>
    </xf>
    <xf numFmtId="4" fontId="20" fillId="2" borderId="96" xfId="0" applyNumberFormat="1" applyFont="1" applyFill="1" applyBorder="1" applyAlignment="1">
      <alignment vertical="top" wrapText="1" readingOrder="1"/>
    </xf>
    <xf numFmtId="14" fontId="19" fillId="3" borderId="103" xfId="0" applyNumberFormat="1" applyFont="1" applyFill="1" applyBorder="1" applyAlignment="1">
      <alignment horizontal="center" vertical="top" wrapText="1"/>
    </xf>
    <xf numFmtId="0" fontId="19" fillId="3" borderId="104" xfId="0" applyFont="1" applyFill="1" applyBorder="1">
      <alignment vertical="top" wrapText="1"/>
    </xf>
    <xf numFmtId="0" fontId="19" fillId="3" borderId="105" xfId="0" applyFont="1" applyFill="1" applyBorder="1" applyAlignment="1">
      <alignment horizontal="left" vertical="top" wrapText="1"/>
    </xf>
    <xf numFmtId="2" fontId="19" fillId="3" borderId="106" xfId="0" applyNumberFormat="1" applyFont="1" applyFill="1" applyBorder="1">
      <alignment vertical="top" wrapText="1"/>
    </xf>
    <xf numFmtId="4" fontId="19" fillId="2" borderId="107" xfId="0" applyNumberFormat="1" applyFont="1" applyFill="1" applyBorder="1" applyAlignment="1">
      <alignment vertical="top" wrapText="1" readingOrder="1"/>
    </xf>
    <xf numFmtId="2" fontId="19" fillId="3" borderId="108" xfId="0" applyNumberFormat="1" applyFont="1" applyFill="1" applyBorder="1">
      <alignment vertical="top" wrapText="1"/>
    </xf>
    <xf numFmtId="0" fontId="19" fillId="2" borderId="89" xfId="0" applyFont="1" applyFill="1" applyBorder="1" applyAlignment="1">
      <alignment vertical="top" wrapText="1" readingOrder="1"/>
    </xf>
    <xf numFmtId="168" fontId="4" fillId="4" borderId="109" xfId="0" applyNumberFormat="1" applyFont="1" applyFill="1" applyBorder="1">
      <alignment vertical="top" wrapText="1"/>
    </xf>
    <xf numFmtId="0" fontId="4" fillId="4" borderId="110" xfId="0" applyFont="1" applyFill="1" applyBorder="1">
      <alignment vertical="top" wrapText="1"/>
    </xf>
    <xf numFmtId="49" fontId="4" fillId="4" borderId="105" xfId="0" applyNumberFormat="1" applyFont="1" applyFill="1" applyBorder="1">
      <alignment vertical="top" wrapText="1"/>
    </xf>
    <xf numFmtId="4" fontId="4" fillId="4" borderId="106" xfId="0" applyNumberFormat="1" applyFont="1" applyFill="1" applyBorder="1">
      <alignment vertical="top" wrapText="1"/>
    </xf>
    <xf numFmtId="49" fontId="0" fillId="2" borderId="98" xfId="0" applyNumberFormat="1" applyFill="1" applyBorder="1">
      <alignment vertical="top" wrapText="1"/>
    </xf>
    <xf numFmtId="0" fontId="4" fillId="4" borderId="111" xfId="0" applyFont="1" applyFill="1" applyBorder="1">
      <alignment vertical="top" wrapText="1"/>
    </xf>
    <xf numFmtId="0" fontId="4" fillId="4" borderId="105" xfId="0" applyFont="1" applyFill="1" applyBorder="1">
      <alignment vertical="top" wrapText="1"/>
    </xf>
    <xf numFmtId="0" fontId="0" fillId="2" borderId="98" xfId="0" applyFill="1" applyBorder="1">
      <alignment vertical="top" wrapText="1"/>
    </xf>
    <xf numFmtId="49" fontId="24" fillId="4" borderId="105" xfId="0" applyNumberFormat="1" applyFont="1" applyFill="1" applyBorder="1" applyAlignment="1">
      <alignment horizontal="right" vertical="top" wrapText="1"/>
    </xf>
    <xf numFmtId="49" fontId="6" fillId="4" borderId="109" xfId="0" applyNumberFormat="1" applyFont="1" applyFill="1" applyBorder="1">
      <alignment vertical="top" wrapText="1"/>
    </xf>
    <xf numFmtId="168" fontId="0" fillId="4" borderId="109" xfId="0" applyNumberFormat="1" applyFill="1" applyBorder="1">
      <alignment vertical="top" wrapText="1"/>
    </xf>
    <xf numFmtId="0" fontId="4" fillId="4" borderId="112" xfId="0" applyFont="1" applyFill="1" applyBorder="1">
      <alignment vertical="top" wrapText="1"/>
    </xf>
    <xf numFmtId="49" fontId="0" fillId="4" borderId="113" xfId="0" applyNumberFormat="1" applyFill="1" applyBorder="1">
      <alignment vertical="top" wrapText="1"/>
    </xf>
    <xf numFmtId="169" fontId="0" fillId="4" borderId="105" xfId="0" applyNumberFormat="1" applyFill="1" applyBorder="1">
      <alignment vertical="top" wrapText="1"/>
    </xf>
    <xf numFmtId="0" fontId="0" fillId="2" borderId="114" xfId="0" applyFill="1" applyBorder="1">
      <alignment vertical="top" wrapText="1"/>
    </xf>
    <xf numFmtId="49" fontId="0" fillId="4" borderId="115" xfId="0" applyNumberFormat="1" applyFill="1" applyBorder="1">
      <alignment vertical="top" wrapText="1"/>
    </xf>
    <xf numFmtId="4" fontId="0" fillId="4" borderId="106" xfId="0" applyNumberFormat="1" applyFill="1" applyBorder="1">
      <alignment vertical="top" wrapText="1"/>
    </xf>
    <xf numFmtId="4" fontId="0" fillId="2" borderId="98" xfId="0" applyNumberFormat="1" applyFill="1" applyBorder="1">
      <alignment vertical="top" wrapText="1"/>
    </xf>
    <xf numFmtId="2" fontId="0" fillId="2" borderId="117" xfId="0" applyNumberFormat="1" applyFill="1" applyBorder="1">
      <alignment vertical="top" wrapText="1"/>
    </xf>
    <xf numFmtId="2" fontId="0" fillId="2" borderId="95" xfId="0" applyNumberFormat="1" applyFill="1" applyBorder="1">
      <alignment vertical="top" wrapText="1"/>
    </xf>
    <xf numFmtId="49" fontId="25" fillId="6" borderId="122" xfId="0" applyNumberFormat="1" applyFont="1" applyFill="1" applyBorder="1" applyAlignment="1">
      <alignment horizontal="center" vertical="top" wrapText="1"/>
    </xf>
    <xf numFmtId="49" fontId="26" fillId="6" borderId="41" xfId="0" applyNumberFormat="1" applyFont="1" applyFill="1" applyBorder="1" applyAlignment="1">
      <alignment horizontal="center" vertical="top" wrapText="1"/>
    </xf>
    <xf numFmtId="49" fontId="26" fillId="6" borderId="41" xfId="0" applyNumberFormat="1" applyFont="1" applyFill="1" applyBorder="1" applyAlignment="1">
      <alignment horizontal="left" vertical="top" wrapText="1"/>
    </xf>
    <xf numFmtId="49" fontId="26" fillId="6" borderId="41" xfId="0" applyNumberFormat="1" applyFont="1" applyFill="1" applyBorder="1">
      <alignment vertical="top" wrapText="1"/>
    </xf>
    <xf numFmtId="0" fontId="26" fillId="6" borderId="123" xfId="0" applyFont="1" applyFill="1" applyBorder="1">
      <alignment vertical="top" wrapText="1"/>
    </xf>
    <xf numFmtId="49" fontId="12" fillId="6" borderId="124" xfId="0" applyNumberFormat="1" applyFont="1" applyFill="1" applyBorder="1">
      <alignment vertical="top" wrapText="1"/>
    </xf>
    <xf numFmtId="0" fontId="12" fillId="6" borderId="41" xfId="0" applyFont="1" applyFill="1" applyBorder="1">
      <alignment vertical="top" wrapText="1"/>
    </xf>
    <xf numFmtId="0" fontId="12" fillId="6" borderId="125" xfId="0" applyFont="1" applyFill="1" applyBorder="1">
      <alignment vertical="top" wrapText="1"/>
    </xf>
    <xf numFmtId="49" fontId="12" fillId="6" borderId="126" xfId="0" applyNumberFormat="1" applyFont="1" applyFill="1" applyBorder="1">
      <alignment vertical="top" wrapText="1"/>
    </xf>
    <xf numFmtId="0" fontId="12" fillId="6" borderId="127" xfId="0" applyFont="1" applyFill="1" applyBorder="1">
      <alignment vertical="top" wrapText="1"/>
    </xf>
    <xf numFmtId="0" fontId="12" fillId="6" borderId="128" xfId="0" applyFont="1" applyFill="1" applyBorder="1">
      <alignment vertical="top" wrapText="1"/>
    </xf>
    <xf numFmtId="0" fontId="12" fillId="6" borderId="129" xfId="0" applyFont="1" applyFill="1" applyBorder="1">
      <alignment vertical="top" wrapText="1"/>
    </xf>
    <xf numFmtId="0" fontId="12" fillId="6" borderId="130" xfId="0" applyFont="1" applyFill="1" applyBorder="1">
      <alignment vertical="top" wrapText="1"/>
    </xf>
    <xf numFmtId="0" fontId="12" fillId="6" borderId="131" xfId="0" applyFont="1" applyFill="1" applyBorder="1">
      <alignment vertical="top" wrapText="1"/>
    </xf>
    <xf numFmtId="0" fontId="12" fillId="6" borderId="132" xfId="0" applyFont="1" applyFill="1" applyBorder="1">
      <alignment vertical="top" wrapText="1"/>
    </xf>
    <xf numFmtId="0" fontId="12" fillId="6" borderId="133" xfId="0" applyFont="1" applyFill="1" applyBorder="1">
      <alignment vertical="top" wrapText="1"/>
    </xf>
    <xf numFmtId="49" fontId="26" fillId="4" borderId="134" xfId="0" applyNumberFormat="1" applyFont="1" applyFill="1" applyBorder="1" applyAlignment="1">
      <alignment horizontal="center" vertical="top" wrapText="1"/>
    </xf>
    <xf numFmtId="0" fontId="12" fillId="6" borderId="135" xfId="0" applyFont="1" applyFill="1" applyBorder="1" applyAlignment="1">
      <alignment horizontal="center" vertical="top" wrapText="1"/>
    </xf>
    <xf numFmtId="49" fontId="12" fillId="6" borderId="42" xfId="0" applyNumberFormat="1" applyFont="1" applyFill="1" applyBorder="1" applyAlignment="1">
      <alignment horizontal="left" vertical="top" wrapText="1"/>
    </xf>
    <xf numFmtId="0" fontId="12" fillId="6" borderId="42" xfId="0" applyFont="1" applyFill="1" applyBorder="1">
      <alignment vertical="top" wrapText="1"/>
    </xf>
    <xf numFmtId="49" fontId="12" fillId="6" borderId="42" xfId="0" applyNumberFormat="1" applyFont="1" applyFill="1" applyBorder="1">
      <alignment vertical="top" wrapText="1"/>
    </xf>
    <xf numFmtId="49" fontId="12" fillId="6" borderId="136" xfId="0" applyNumberFormat="1" applyFont="1" applyFill="1" applyBorder="1">
      <alignment vertical="top" wrapText="1"/>
    </xf>
    <xf numFmtId="49" fontId="12" fillId="6" borderId="137" xfId="0" applyNumberFormat="1" applyFont="1" applyFill="1" applyBorder="1">
      <alignment vertical="top" wrapText="1"/>
    </xf>
    <xf numFmtId="49" fontId="12" fillId="6" borderId="138" xfId="0" applyNumberFormat="1" applyFont="1" applyFill="1" applyBorder="1">
      <alignment vertical="top" wrapText="1"/>
    </xf>
    <xf numFmtId="49" fontId="12" fillId="6" borderId="139" xfId="0" applyNumberFormat="1" applyFont="1" applyFill="1" applyBorder="1">
      <alignment vertical="top" wrapText="1"/>
    </xf>
    <xf numFmtId="49" fontId="12" fillId="6" borderId="140" xfId="0" applyNumberFormat="1" applyFont="1" applyFill="1" applyBorder="1">
      <alignment vertical="top" wrapText="1"/>
    </xf>
    <xf numFmtId="49" fontId="12" fillId="6" borderId="141" xfId="0" applyNumberFormat="1" applyFont="1" applyFill="1" applyBorder="1">
      <alignment vertical="top" wrapText="1"/>
    </xf>
    <xf numFmtId="49" fontId="12" fillId="6" borderId="142" xfId="0" applyNumberFormat="1" applyFont="1" applyFill="1" applyBorder="1">
      <alignment vertical="top" wrapText="1"/>
    </xf>
    <xf numFmtId="0" fontId="12" fillId="6" borderId="143" xfId="0" applyFont="1" applyFill="1" applyBorder="1">
      <alignment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0" fontId="6" fillId="4" borderId="8" xfId="0" applyFont="1" applyFill="1" applyBorder="1">
      <alignment vertical="top" wrapText="1"/>
    </xf>
    <xf numFmtId="4" fontId="26" fillId="4" borderId="5" xfId="0" applyNumberFormat="1" applyFont="1" applyFill="1" applyBorder="1">
      <alignment vertical="top" wrapText="1"/>
    </xf>
    <xf numFmtId="0" fontId="25" fillId="2" borderId="7" xfId="0" applyFont="1" applyFill="1" applyBorder="1">
      <alignment vertical="top" wrapText="1"/>
    </xf>
    <xf numFmtId="0" fontId="25" fillId="2" borderId="8" xfId="0" applyFont="1" applyFill="1" applyBorder="1">
      <alignment vertical="top" wrapText="1"/>
    </xf>
    <xf numFmtId="0" fontId="25" fillId="2" borderId="28" xfId="0" applyFont="1" applyFill="1" applyBorder="1">
      <alignment vertical="top" wrapText="1"/>
    </xf>
    <xf numFmtId="168" fontId="25" fillId="4" borderId="8" xfId="0" applyNumberFormat="1" applyFont="1" applyFill="1" applyBorder="1" applyAlignment="1">
      <alignment horizontal="center" vertical="top" wrapText="1"/>
    </xf>
    <xf numFmtId="49" fontId="25" fillId="4" borderId="8" xfId="0" applyNumberFormat="1" applyFont="1" applyFill="1" applyBorder="1" applyAlignment="1">
      <alignment horizontal="center" vertical="top" wrapText="1"/>
    </xf>
    <xf numFmtId="0" fontId="25" fillId="4" borderId="5" xfId="0" applyNumberFormat="1" applyFont="1" applyFill="1" applyBorder="1">
      <alignment vertical="top" wrapText="1"/>
    </xf>
    <xf numFmtId="0" fontId="25" fillId="2" borderId="8" xfId="0" applyNumberFormat="1" applyFont="1" applyFill="1" applyBorder="1">
      <alignment vertical="top" wrapText="1"/>
    </xf>
    <xf numFmtId="0" fontId="25" fillId="4" borderId="8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left" vertical="top" wrapText="1"/>
    </xf>
    <xf numFmtId="4" fontId="25" fillId="4" borderId="5" xfId="0" applyNumberFormat="1" applyFont="1" applyFill="1" applyBorder="1">
      <alignment vertical="top" wrapText="1"/>
    </xf>
    <xf numFmtId="4" fontId="25" fillId="2" borderId="8" xfId="0" applyNumberFormat="1" applyFont="1" applyFill="1" applyBorder="1">
      <alignment vertical="top" wrapText="1"/>
    </xf>
    <xf numFmtId="2" fontId="25" fillId="4" borderId="5" xfId="0" applyNumberFormat="1" applyFont="1" applyFill="1" applyBorder="1">
      <alignment vertical="top" wrapText="1"/>
    </xf>
    <xf numFmtId="49" fontId="25" fillId="2" borderId="8" xfId="0" applyNumberFormat="1" applyFont="1" applyFill="1" applyBorder="1">
      <alignment vertical="top" wrapText="1"/>
    </xf>
    <xf numFmtId="0" fontId="27" fillId="2" borderId="8" xfId="0" applyFont="1" applyFill="1" applyBorder="1">
      <alignment vertical="top" wrapText="1"/>
    </xf>
    <xf numFmtId="170" fontId="25" fillId="4" borderId="8" xfId="0" applyNumberFormat="1" applyFont="1" applyFill="1" applyBorder="1" applyAlignment="1">
      <alignment horizontal="center" vertical="top" wrapText="1"/>
    </xf>
    <xf numFmtId="49" fontId="0" fillId="4" borderId="8" xfId="0" applyNumberFormat="1" applyFill="1" applyBorder="1" applyAlignment="1">
      <alignment horizontal="center" vertical="top" wrapText="1"/>
    </xf>
    <xf numFmtId="49" fontId="0" fillId="4" borderId="8" xfId="0" applyNumberFormat="1" applyFill="1" applyBorder="1" applyAlignment="1">
      <alignment horizontal="left" vertical="top" wrapText="1"/>
    </xf>
    <xf numFmtId="170" fontId="0" fillId="4" borderId="8" xfId="0" applyNumberFormat="1" applyFill="1" applyBorder="1" applyAlignment="1">
      <alignment horizontal="center" vertical="top" wrapText="1"/>
    </xf>
    <xf numFmtId="0" fontId="28" fillId="2" borderId="8" xfId="0" applyFont="1" applyFill="1" applyBorder="1">
      <alignment vertical="top" wrapText="1"/>
    </xf>
    <xf numFmtId="0" fontId="26" fillId="2" borderId="8" xfId="0" applyFont="1" applyFill="1" applyBorder="1">
      <alignment vertical="top" wrapText="1"/>
    </xf>
    <xf numFmtId="0" fontId="0" fillId="2" borderId="8" xfId="0" applyNumberFormat="1" applyFill="1" applyBorder="1">
      <alignment vertical="top" wrapText="1"/>
    </xf>
    <xf numFmtId="4" fontId="26" fillId="2" borderId="8" xfId="0" applyNumberFormat="1" applyFont="1" applyFill="1" applyBorder="1">
      <alignment vertical="top" wrapText="1"/>
    </xf>
    <xf numFmtId="170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2" borderId="7" xfId="0" applyFont="1" applyFill="1" applyBorder="1">
      <alignment vertical="top" wrapText="1"/>
    </xf>
    <xf numFmtId="0" fontId="0" fillId="4" borderId="8" xfId="0" applyFill="1" applyBorder="1" applyAlignment="1">
      <alignment horizontal="center" vertical="top" wrapText="1"/>
    </xf>
    <xf numFmtId="49" fontId="29" fillId="4" borderId="8" xfId="0" applyNumberFormat="1" applyFont="1" applyFill="1" applyBorder="1" applyAlignment="1">
      <alignment horizontal="right" vertical="top" wrapText="1"/>
    </xf>
    <xf numFmtId="0" fontId="0" fillId="2" borderId="7" xfId="0" applyNumberFormat="1" applyFill="1" applyBorder="1">
      <alignment vertical="top" wrapText="1"/>
    </xf>
    <xf numFmtId="168" fontId="6" fillId="4" borderId="8" xfId="0" applyNumberFormat="1" applyFont="1" applyFill="1" applyBorder="1">
      <alignment vertical="top" wrapText="1"/>
    </xf>
    <xf numFmtId="49" fontId="6" fillId="4" borderId="8" xfId="0" applyNumberFormat="1" applyFont="1" applyFill="1" applyBorder="1">
      <alignment vertical="top" wrapText="1"/>
    </xf>
    <xf numFmtId="4" fontId="6" fillId="4" borderId="5" xfId="0" applyNumberFormat="1" applyFont="1" applyFill="1" applyBorder="1">
      <alignment vertical="top" wrapText="1"/>
    </xf>
    <xf numFmtId="0" fontId="26" fillId="2" borderId="8" xfId="0" applyNumberFormat="1" applyFont="1" applyFill="1" applyBorder="1">
      <alignment vertical="top" wrapText="1"/>
    </xf>
    <xf numFmtId="49" fontId="12" fillId="4" borderId="8" xfId="0" applyNumberFormat="1" applyFont="1" applyFill="1" applyBorder="1" applyAlignment="1">
      <alignment vertical="top"/>
    </xf>
    <xf numFmtId="0" fontId="12" fillId="4" borderId="8" xfId="0" applyFont="1" applyFill="1" applyBorder="1" applyAlignment="1">
      <alignment vertical="top"/>
    </xf>
    <xf numFmtId="0" fontId="11" fillId="2" borderId="7" xfId="0" applyFont="1" applyFill="1" applyBorder="1">
      <alignment vertical="top" wrapText="1"/>
    </xf>
    <xf numFmtId="0" fontId="11" fillId="2" borderId="8" xfId="0" applyFont="1" applyFill="1" applyBorder="1">
      <alignment vertical="top" wrapText="1"/>
    </xf>
    <xf numFmtId="168" fontId="11" fillId="4" borderId="8" xfId="0" applyNumberFormat="1" applyFont="1" applyFill="1" applyBorder="1">
      <alignment vertical="top" wrapText="1"/>
    </xf>
    <xf numFmtId="0" fontId="12" fillId="4" borderId="8" xfId="0" applyFont="1" applyFill="1" applyBorder="1">
      <alignment vertical="top" wrapText="1"/>
    </xf>
    <xf numFmtId="0" fontId="11" fillId="4" borderId="5" xfId="0" applyNumberFormat="1" applyFont="1" applyFill="1" applyBorder="1">
      <alignment vertical="top" wrapText="1"/>
    </xf>
    <xf numFmtId="0" fontId="11" fillId="2" borderId="8" xfId="0" applyNumberFormat="1" applyFont="1" applyFill="1" applyBorder="1">
      <alignment vertical="top" wrapText="1"/>
    </xf>
    <xf numFmtId="49" fontId="6" fillId="6" borderId="27" xfId="0" applyNumberFormat="1" applyFont="1" applyFill="1" applyBorder="1">
      <alignment vertical="top" wrapText="1"/>
    </xf>
    <xf numFmtId="0" fontId="6" fillId="6" borderId="27" xfId="0" applyFont="1" applyFill="1" applyBorder="1">
      <alignment vertical="top" wrapText="1"/>
    </xf>
    <xf numFmtId="0" fontId="6" fillId="6" borderId="27" xfId="0" applyFont="1" applyFill="1" applyBorder="1" applyAlignment="1">
      <alignment horizontal="left" vertical="top" wrapText="1"/>
    </xf>
    <xf numFmtId="0" fontId="6" fillId="4" borderId="29" xfId="0" applyFont="1" applyFill="1" applyBorder="1">
      <alignment vertical="top" wrapText="1"/>
    </xf>
    <xf numFmtId="0" fontId="0" fillId="2" borderId="30" xfId="0" applyFill="1" applyBorder="1">
      <alignment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8" xfId="0" applyFill="1" applyBorder="1">
      <alignment vertical="top" wrapText="1"/>
    </xf>
    <xf numFmtId="49" fontId="6" fillId="4" borderId="5" xfId="0" applyNumberFormat="1" applyFont="1" applyFill="1" applyBorder="1">
      <alignment vertical="top" wrapText="1"/>
    </xf>
    <xf numFmtId="0" fontId="0" fillId="2" borderId="8" xfId="0" applyNumberFormat="1" applyFill="1" applyBorder="1" applyAlignment="1">
      <alignment horizontal="left" vertical="top" wrapText="1"/>
    </xf>
    <xf numFmtId="171" fontId="0" fillId="2" borderId="8" xfId="0" applyNumberFormat="1" applyFill="1" applyBorder="1">
      <alignment vertical="top" wrapText="1"/>
    </xf>
    <xf numFmtId="49" fontId="0" fillId="2" borderId="8" xfId="0" applyNumberFormat="1" applyFill="1" applyBorder="1">
      <alignment vertical="top" wrapText="1"/>
    </xf>
    <xf numFmtId="172" fontId="0" fillId="2" borderId="8" xfId="0" applyNumberFormat="1" applyFill="1" applyBorder="1">
      <alignment vertical="top" wrapText="1"/>
    </xf>
    <xf numFmtId="49" fontId="0" fillId="2" borderId="8" xfId="0" applyNumberFormat="1" applyFill="1" applyBorder="1" applyAlignment="1">
      <alignment horizontal="left" vertical="top" wrapText="1"/>
    </xf>
    <xf numFmtId="169" fontId="0" fillId="2" borderId="8" xfId="0" applyNumberFormat="1" applyFill="1" applyBorder="1">
      <alignment vertical="top" wrapText="1"/>
    </xf>
    <xf numFmtId="0" fontId="0" fillId="2" borderId="8" xfId="0" applyFill="1" applyBorder="1" applyAlignment="1">
      <alignment horizontal="left" vertical="top" wrapText="1"/>
    </xf>
    <xf numFmtId="173" fontId="0" fillId="2" borderId="8" xfId="0" applyNumberFormat="1" applyFill="1" applyBorder="1">
      <alignment vertical="top" wrapText="1"/>
    </xf>
    <xf numFmtId="0" fontId="6" fillId="4" borderId="5" xfId="0" applyFont="1" applyFill="1" applyBorder="1">
      <alignment vertical="top" wrapText="1"/>
    </xf>
    <xf numFmtId="49" fontId="6" fillId="6" borderId="27" xfId="0" applyNumberFormat="1" applyFont="1" applyFill="1" applyBorder="1" applyAlignment="1">
      <alignment horizontal="center" vertical="top" wrapText="1"/>
    </xf>
    <xf numFmtId="170" fontId="6" fillId="4" borderId="29" xfId="0" applyNumberFormat="1" applyFont="1" applyFill="1" applyBorder="1" applyAlignment="1">
      <alignment horizontal="center" vertical="top" wrapText="1"/>
    </xf>
    <xf numFmtId="49" fontId="0" fillId="2" borderId="30" xfId="0" applyNumberFormat="1" applyFill="1" applyBorder="1">
      <alignment vertical="top" wrapText="1"/>
    </xf>
    <xf numFmtId="49" fontId="0" fillId="2" borderId="28" xfId="0" applyNumberFormat="1" applyFill="1" applyBorder="1" applyAlignment="1">
      <alignment horizontal="left" vertical="top" wrapText="1"/>
    </xf>
    <xf numFmtId="171" fontId="0" fillId="2" borderId="28" xfId="0" applyNumberFormat="1" applyFill="1" applyBorder="1">
      <alignment vertical="top" wrapText="1"/>
    </xf>
    <xf numFmtId="49" fontId="0" fillId="2" borderId="28" xfId="0" applyNumberFormat="1" applyFill="1" applyBorder="1">
      <alignment vertical="top" wrapText="1"/>
    </xf>
    <xf numFmtId="172" fontId="0" fillId="2" borderId="28" xfId="0" applyNumberFormat="1" applyFill="1" applyBorder="1">
      <alignment vertical="top" wrapText="1"/>
    </xf>
    <xf numFmtId="170" fontId="6" fillId="4" borderId="5" xfId="0" applyNumberFormat="1" applyFont="1" applyFill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0" fontId="0" fillId="6" borderId="5" xfId="0" applyFill="1" applyBorder="1">
      <alignment vertical="top" wrapText="1"/>
    </xf>
    <xf numFmtId="49" fontId="25" fillId="6" borderId="30" xfId="0" applyNumberFormat="1" applyFont="1" applyFill="1" applyBorder="1" applyAlignment="1">
      <alignment horizontal="center" vertical="top" wrapText="1"/>
    </xf>
    <xf numFmtId="49" fontId="25" fillId="6" borderId="28" xfId="0" applyNumberFormat="1" applyFont="1" applyFill="1" applyBorder="1" applyAlignment="1">
      <alignment horizontal="left" vertical="top" wrapText="1"/>
    </xf>
    <xf numFmtId="4" fontId="25" fillId="6" borderId="28" xfId="0" applyNumberFormat="1" applyFont="1" applyFill="1" applyBorder="1">
      <alignment vertical="top" wrapText="1"/>
    </xf>
    <xf numFmtId="49" fontId="25" fillId="4" borderId="5" xfId="0" applyNumberFormat="1" applyFont="1" applyFill="1" applyBorder="1" applyAlignment="1">
      <alignment horizontal="center" vertical="top" wrapText="1"/>
    </xf>
    <xf numFmtId="49" fontId="25" fillId="2" borderId="7" xfId="0" applyNumberFormat="1" applyFont="1" applyFill="1" applyBorder="1" applyAlignment="1">
      <alignment horizontal="center" vertical="top" wrapText="1"/>
    </xf>
    <xf numFmtId="14" fontId="25" fillId="4" borderId="5" xfId="0" applyNumberFormat="1" applyFont="1" applyFill="1" applyBorder="1" applyAlignment="1">
      <alignment horizontal="center" vertical="top" wrapText="1"/>
    </xf>
    <xf numFmtId="2" fontId="25" fillId="2" borderId="8" xfId="0" applyNumberFormat="1" applyFont="1" applyFill="1" applyBorder="1">
      <alignment vertical="top" wrapText="1"/>
    </xf>
    <xf numFmtId="14" fontId="25" fillId="4" borderId="5" xfId="0" applyNumberFormat="1" applyFont="1" applyFill="1" applyBorder="1" applyAlignment="1">
      <alignment horizontal="center" vertical="center" wrapText="1"/>
    </xf>
    <xf numFmtId="14" fontId="25" fillId="4" borderId="145" xfId="0" applyNumberFormat="1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top" wrapText="1"/>
    </xf>
    <xf numFmtId="49" fontId="25" fillId="2" borderId="8" xfId="0" applyNumberFormat="1" applyFont="1" applyFill="1" applyBorder="1" applyAlignment="1">
      <alignment horizontal="left" vertical="top" wrapText="1"/>
    </xf>
    <xf numFmtId="0" fontId="25" fillId="2" borderId="8" xfId="0" applyNumberFormat="1" applyFont="1" applyFill="1" applyBorder="1" applyAlignment="1">
      <alignment horizontal="left" vertical="top" wrapText="1"/>
    </xf>
    <xf numFmtId="14" fontId="25" fillId="4" borderId="5" xfId="0" applyNumberFormat="1" applyFont="1" applyFill="1" applyBorder="1">
      <alignment vertical="top" wrapText="1"/>
    </xf>
    <xf numFmtId="0" fontId="25" fillId="2" borderId="7" xfId="0" applyFont="1" applyFill="1" applyBorder="1" applyAlignment="1">
      <alignment horizontal="center" vertical="top" wrapText="1"/>
    </xf>
    <xf numFmtId="0" fontId="0" fillId="0" borderId="32" xfId="0" applyBorder="1">
      <alignment vertical="top" wrapText="1"/>
    </xf>
    <xf numFmtId="49" fontId="30" fillId="0" borderId="33" xfId="0" applyNumberFormat="1" applyFont="1" applyBorder="1" applyAlignment="1">
      <alignment horizontal="left" vertical="top" wrapText="1" readingOrder="1"/>
    </xf>
    <xf numFmtId="49" fontId="30" fillId="0" borderId="34" xfId="0" applyNumberFormat="1" applyFont="1" applyBorder="1" applyAlignment="1">
      <alignment horizontal="left" vertical="top" wrapText="1" readingOrder="1"/>
    </xf>
    <xf numFmtId="49" fontId="30" fillId="0" borderId="35" xfId="0" applyNumberFormat="1" applyFont="1" applyBorder="1" applyAlignment="1">
      <alignment horizontal="left" vertical="top" wrapText="1" readingOrder="1"/>
    </xf>
    <xf numFmtId="49" fontId="30" fillId="0" borderId="35" xfId="0" applyNumberFormat="1" applyFont="1" applyBorder="1" applyAlignment="1">
      <alignment horizontal="right" vertical="top" wrapText="1" readingOrder="1"/>
    </xf>
    <xf numFmtId="171" fontId="30" fillId="0" borderId="35" xfId="0" applyNumberFormat="1" applyFont="1" applyBorder="1" applyAlignment="1">
      <alignment vertical="top" wrapText="1" readingOrder="1"/>
    </xf>
    <xf numFmtId="172" fontId="30" fillId="0" borderId="35" xfId="0" applyNumberFormat="1" applyFont="1" applyBorder="1" applyAlignment="1">
      <alignment vertical="top" wrapText="1" readingOrder="1"/>
    </xf>
    <xf numFmtId="0" fontId="30" fillId="0" borderId="35" xfId="0" applyFont="1" applyBorder="1" applyAlignment="1">
      <alignment vertical="top" wrapText="1" readingOrder="1"/>
    </xf>
    <xf numFmtId="49" fontId="30" fillId="0" borderId="36" xfId="0" applyNumberFormat="1" applyFont="1" applyBorder="1" applyAlignment="1">
      <alignment horizontal="left" vertical="top" wrapText="1" readingOrder="1"/>
    </xf>
    <xf numFmtId="49" fontId="30" fillId="0" borderId="37" xfId="0" applyNumberFormat="1" applyFont="1" applyBorder="1" applyAlignment="1">
      <alignment horizontal="left" vertical="top" wrapText="1" readingOrder="1"/>
    </xf>
    <xf numFmtId="49" fontId="30" fillId="0" borderId="31" xfId="0" applyNumberFormat="1" applyFont="1" applyBorder="1" applyAlignment="1">
      <alignment horizontal="left" vertical="top" wrapText="1" readingOrder="1"/>
    </xf>
    <xf numFmtId="49" fontId="30" fillId="0" borderId="31" xfId="0" applyNumberFormat="1" applyFont="1" applyBorder="1" applyAlignment="1">
      <alignment horizontal="right" vertical="top" wrapText="1" readingOrder="1"/>
    </xf>
    <xf numFmtId="171" fontId="30" fillId="0" borderId="31" xfId="0" applyNumberFormat="1" applyFont="1" applyBorder="1" applyAlignment="1">
      <alignment vertical="top" wrapText="1" readingOrder="1"/>
    </xf>
    <xf numFmtId="172" fontId="30" fillId="0" borderId="31" xfId="0" applyNumberFormat="1" applyFont="1" applyBorder="1" applyAlignment="1">
      <alignment vertical="top" wrapText="1" readingOrder="1"/>
    </xf>
    <xf numFmtId="0" fontId="30" fillId="0" borderId="31" xfId="0" applyFont="1" applyBorder="1" applyAlignment="1">
      <alignment vertical="top" wrapText="1" readingOrder="1"/>
    </xf>
    <xf numFmtId="173" fontId="30" fillId="0" borderId="31" xfId="0" applyNumberFormat="1" applyFont="1" applyBorder="1" applyAlignment="1">
      <alignment vertical="top" wrapText="1" readingOrder="1"/>
    </xf>
    <xf numFmtId="169" fontId="30" fillId="0" borderId="31" xfId="0" applyNumberFormat="1" applyFont="1" applyBorder="1" applyAlignment="1">
      <alignment vertical="top" wrapText="1" readingOrder="1"/>
    </xf>
    <xf numFmtId="0" fontId="30" fillId="0" borderId="31" xfId="0" applyNumberFormat="1" applyFont="1" applyBorder="1" applyAlignment="1">
      <alignment vertical="top" wrapText="1" readingOrder="1"/>
    </xf>
    <xf numFmtId="0" fontId="31" fillId="0" borderId="36" xfId="0" applyFont="1" applyBorder="1" applyAlignment="1">
      <alignment horizontal="left" vertical="top" wrapText="1" readingOrder="1"/>
    </xf>
    <xf numFmtId="0" fontId="31" fillId="0" borderId="37" xfId="0" applyFont="1" applyBorder="1" applyAlignment="1">
      <alignment horizontal="left" vertical="top" wrapText="1" readingOrder="1"/>
    </xf>
    <xf numFmtId="0" fontId="31" fillId="0" borderId="31" xfId="0" applyFont="1" applyBorder="1" applyAlignment="1">
      <alignment horizontal="left" vertical="top" wrapText="1" readingOrder="1"/>
    </xf>
    <xf numFmtId="0" fontId="31" fillId="0" borderId="31" xfId="0" applyFont="1" applyBorder="1" applyAlignment="1">
      <alignment horizontal="right" vertical="top" wrapText="1" readingOrder="1"/>
    </xf>
    <xf numFmtId="0" fontId="31" fillId="0" borderId="31" xfId="0" applyFont="1" applyBorder="1" applyAlignment="1">
      <alignment vertical="top" wrapText="1" readingOrder="1"/>
    </xf>
    <xf numFmtId="49" fontId="31" fillId="0" borderId="36" xfId="0" applyNumberFormat="1" applyFont="1" applyBorder="1" applyAlignment="1">
      <alignment horizontal="left" vertical="top" wrapText="1" readingOrder="1"/>
    </xf>
    <xf numFmtId="49" fontId="31" fillId="0" borderId="37" xfId="0" applyNumberFormat="1" applyFont="1" applyBorder="1" applyAlignment="1">
      <alignment horizontal="left" vertical="top" wrapText="1" readingOrder="1"/>
    </xf>
    <xf numFmtId="49" fontId="31" fillId="0" borderId="31" xfId="0" applyNumberFormat="1" applyFont="1" applyBorder="1" applyAlignment="1">
      <alignment horizontal="left" vertical="top" wrapText="1" readingOrder="1"/>
    </xf>
    <xf numFmtId="173" fontId="31" fillId="0" borderId="31" xfId="0" applyNumberFormat="1" applyFont="1" applyBorder="1" applyAlignment="1">
      <alignment horizontal="right" vertical="top" wrapText="1" readingOrder="1"/>
    </xf>
    <xf numFmtId="49" fontId="31" fillId="0" borderId="31" xfId="0" applyNumberFormat="1" applyFont="1" applyBorder="1" applyAlignment="1">
      <alignment vertical="top" wrapText="1" readingOrder="1"/>
    </xf>
    <xf numFmtId="172" fontId="31" fillId="0" borderId="31" xfId="0" applyNumberFormat="1" applyFont="1" applyBorder="1" applyAlignment="1">
      <alignment vertical="top" wrapText="1" readingOrder="1"/>
    </xf>
    <xf numFmtId="169" fontId="31" fillId="0" borderId="31" xfId="0" applyNumberFormat="1" applyFont="1" applyBorder="1" applyAlignment="1">
      <alignment vertical="top" wrapText="1" readingOrder="1"/>
    </xf>
    <xf numFmtId="49" fontId="31" fillId="0" borderId="31" xfId="0" applyNumberFormat="1" applyFont="1" applyBorder="1" applyAlignment="1">
      <alignment horizontal="right" vertical="top" wrapText="1" readingOrder="1"/>
    </xf>
    <xf numFmtId="0" fontId="30" fillId="0" borderId="36" xfId="0" applyFont="1" applyBorder="1" applyAlignment="1">
      <alignment horizontal="left" vertical="top" wrapText="1" readingOrder="1"/>
    </xf>
    <xf numFmtId="0" fontId="30" fillId="0" borderId="37" xfId="0" applyFont="1" applyBorder="1" applyAlignment="1">
      <alignment horizontal="left" vertical="top" wrapText="1" readingOrder="1"/>
    </xf>
    <xf numFmtId="0" fontId="30" fillId="0" borderId="31" xfId="0" applyFont="1" applyBorder="1" applyAlignment="1">
      <alignment horizontal="left" vertical="top" wrapText="1" readingOrder="1"/>
    </xf>
    <xf numFmtId="0" fontId="30" fillId="0" borderId="31" xfId="0" applyFont="1" applyBorder="1" applyAlignment="1">
      <alignment horizontal="right" vertical="top" wrapText="1" readingOrder="1"/>
    </xf>
    <xf numFmtId="0" fontId="33" fillId="0" borderId="39" xfId="0" applyFont="1" applyBorder="1" applyAlignment="1"/>
    <xf numFmtId="14" fontId="33" fillId="0" borderId="39" xfId="0" applyNumberFormat="1" applyFont="1" applyBorder="1" applyAlignment="1"/>
    <xf numFmtId="4" fontId="25" fillId="9" borderId="8" xfId="0" applyNumberFormat="1" applyFont="1" applyFill="1" applyBorder="1">
      <alignment vertical="top" wrapText="1"/>
    </xf>
    <xf numFmtId="0" fontId="34" fillId="2" borderId="8" xfId="0" applyNumberFormat="1" applyFont="1" applyFill="1" applyBorder="1">
      <alignment vertical="top" wrapText="1"/>
    </xf>
    <xf numFmtId="4" fontId="34" fillId="2" borderId="8" xfId="0" applyNumberFormat="1" applyFont="1" applyFill="1" applyBorder="1">
      <alignment vertical="top" wrapText="1"/>
    </xf>
    <xf numFmtId="49" fontId="9" fillId="4" borderId="42" xfId="0" applyNumberFormat="1" applyFont="1" applyFill="1" applyBorder="1" applyAlignment="1">
      <alignment horizontal="center" vertical="center" wrapText="1"/>
    </xf>
    <xf numFmtId="49" fontId="8" fillId="4" borderId="42" xfId="0" applyNumberFormat="1" applyFont="1" applyFill="1" applyBorder="1" applyAlignment="1">
      <alignment horizontal="center" vertical="center" wrapText="1"/>
    </xf>
    <xf numFmtId="49" fontId="8" fillId="4" borderId="42" xfId="0" applyNumberFormat="1" applyFont="1" applyFill="1" applyBorder="1">
      <alignment vertical="top" wrapText="1"/>
    </xf>
    <xf numFmtId="4" fontId="8" fillId="4" borderId="136" xfId="0" applyNumberFormat="1" applyFont="1" applyFill="1" applyBorder="1">
      <alignment vertical="top" wrapText="1"/>
    </xf>
    <xf numFmtId="4" fontId="8" fillId="2" borderId="143" xfId="0" applyNumberFormat="1" applyFont="1" applyFill="1" applyBorder="1">
      <alignment vertical="top" wrapText="1"/>
    </xf>
    <xf numFmtId="4" fontId="8" fillId="2" borderId="42" xfId="0" applyNumberFormat="1" applyFont="1" applyFill="1" applyBorder="1">
      <alignment vertical="top" wrapText="1"/>
    </xf>
    <xf numFmtId="4" fontId="8" fillId="4" borderId="146" xfId="0" applyNumberFormat="1" applyFont="1" applyFill="1" applyBorder="1">
      <alignment vertical="top" wrapText="1"/>
    </xf>
    <xf numFmtId="4" fontId="8" fillId="4" borderId="147" xfId="0" applyNumberFormat="1" applyFont="1" applyFill="1" applyBorder="1">
      <alignment vertical="top" wrapText="1"/>
    </xf>
    <xf numFmtId="2" fontId="8" fillId="4" borderId="148" xfId="0" applyNumberFormat="1" applyFont="1" applyFill="1" applyBorder="1">
      <alignment vertical="top" wrapText="1"/>
    </xf>
    <xf numFmtId="4" fontId="8" fillId="4" borderId="148" xfId="0" applyNumberFormat="1" applyFont="1" applyFill="1" applyBorder="1">
      <alignment vertical="top" wrapText="1"/>
    </xf>
    <xf numFmtId="49" fontId="11" fillId="8" borderId="38" xfId="0" applyNumberFormat="1" applyFont="1" applyFill="1" applyBorder="1" applyAlignment="1">
      <alignment horizontal="center" vertical="top" wrapText="1"/>
    </xf>
    <xf numFmtId="49" fontId="11" fillId="8" borderId="38" xfId="0" applyNumberFormat="1" applyFont="1" applyFill="1" applyBorder="1">
      <alignment vertical="top" wrapText="1"/>
    </xf>
    <xf numFmtId="4" fontId="11" fillId="8" borderId="149" xfId="0" applyNumberFormat="1" applyFont="1" applyFill="1" applyBorder="1">
      <alignment vertical="top" wrapText="1"/>
    </xf>
    <xf numFmtId="4" fontId="11" fillId="0" borderId="150" xfId="0" applyNumberFormat="1" applyFont="1" applyBorder="1" applyAlignment="1">
      <alignment horizontal="left" vertical="top" wrapText="1"/>
    </xf>
    <xf numFmtId="49" fontId="11" fillId="0" borderId="38" xfId="0" applyNumberFormat="1" applyFont="1" applyBorder="1">
      <alignment vertical="top" wrapText="1"/>
    </xf>
    <xf numFmtId="4" fontId="25" fillId="0" borderId="8" xfId="0" applyNumberFormat="1" applyFont="1" applyFill="1" applyBorder="1">
      <alignment vertical="top" wrapText="1"/>
    </xf>
    <xf numFmtId="164" fontId="9" fillId="2" borderId="8" xfId="1" applyFont="1" applyFill="1" applyBorder="1" applyAlignment="1">
      <alignment vertical="top" wrapText="1"/>
    </xf>
    <xf numFmtId="2" fontId="9" fillId="4" borderId="5" xfId="0" applyNumberFormat="1" applyFont="1" applyFill="1" applyBorder="1">
      <alignment vertical="top" wrapText="1"/>
    </xf>
    <xf numFmtId="0" fontId="6" fillId="0" borderId="0" xfId="0" applyNumberFormat="1" applyFont="1">
      <alignment vertical="top" wrapText="1"/>
    </xf>
    <xf numFmtId="14" fontId="9" fillId="4" borderId="8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>
      <alignment vertical="top" wrapText="1"/>
    </xf>
    <xf numFmtId="2" fontId="9" fillId="2" borderId="8" xfId="0" applyNumberFormat="1" applyFont="1" applyFill="1" applyBorder="1">
      <alignment vertical="top" wrapText="1"/>
    </xf>
    <xf numFmtId="0" fontId="0" fillId="3" borderId="151" xfId="0" applyFill="1" applyBorder="1">
      <alignment vertical="top" wrapText="1"/>
    </xf>
    <xf numFmtId="3" fontId="0" fillId="2" borderId="151" xfId="0" applyNumberFormat="1" applyFill="1" applyBorder="1">
      <alignment vertical="top" wrapText="1"/>
    </xf>
    <xf numFmtId="0" fontId="0" fillId="0" borderId="39" xfId="0" applyNumberFormat="1" applyBorder="1">
      <alignment vertical="top" wrapText="1"/>
    </xf>
    <xf numFmtId="0" fontId="0" fillId="3" borderId="153" xfId="0" applyFill="1" applyBorder="1">
      <alignment vertical="top" wrapText="1"/>
    </xf>
    <xf numFmtId="3" fontId="0" fillId="2" borderId="153" xfId="0" applyNumberFormat="1" applyFill="1" applyBorder="1">
      <alignment vertical="top" wrapText="1"/>
    </xf>
    <xf numFmtId="0" fontId="0" fillId="2" borderId="153" xfId="0" applyNumberFormat="1" applyFill="1" applyBorder="1">
      <alignment vertical="top" wrapText="1"/>
    </xf>
    <xf numFmtId="1" fontId="5" fillId="2" borderId="153" xfId="0" applyNumberFormat="1" applyFont="1" applyFill="1" applyBorder="1" applyAlignment="1">
      <alignment horizontal="right" vertical="top" wrapText="1"/>
    </xf>
    <xf numFmtId="3" fontId="0" fillId="2" borderId="154" xfId="0" applyNumberFormat="1" applyFill="1" applyBorder="1">
      <alignment vertical="top" wrapText="1"/>
    </xf>
    <xf numFmtId="3" fontId="0" fillId="2" borderId="155" xfId="0" applyNumberFormat="1" applyFill="1" applyBorder="1">
      <alignment vertical="top" wrapText="1"/>
    </xf>
    <xf numFmtId="49" fontId="5" fillId="2" borderId="153" xfId="0" applyNumberFormat="1" applyFont="1" applyFill="1" applyBorder="1" applyAlignment="1">
      <alignment horizontal="right" vertical="top" wrapText="1"/>
    </xf>
    <xf numFmtId="3" fontId="0" fillId="2" borderId="156" xfId="0" applyNumberFormat="1" applyFill="1" applyBorder="1">
      <alignment vertical="top" wrapText="1"/>
    </xf>
    <xf numFmtId="3" fontId="4" fillId="2" borderId="153" xfId="0" applyNumberFormat="1" applyFont="1" applyFill="1" applyBorder="1">
      <alignment vertical="top" wrapText="1"/>
    </xf>
    <xf numFmtId="3" fontId="5" fillId="2" borderId="157" xfId="0" applyNumberFormat="1" applyFont="1" applyFill="1" applyBorder="1" applyAlignment="1">
      <alignment horizontal="right" vertical="top" wrapText="1"/>
    </xf>
    <xf numFmtId="3" fontId="0" fillId="2" borderId="158" xfId="0" applyNumberFormat="1" applyFill="1" applyBorder="1">
      <alignment vertical="top" wrapText="1"/>
    </xf>
    <xf numFmtId="49" fontId="4" fillId="2" borderId="153" xfId="0" applyNumberFormat="1" applyFont="1" applyFill="1" applyBorder="1" applyAlignment="1">
      <alignment horizontal="right" vertical="top" wrapText="1"/>
    </xf>
    <xf numFmtId="3" fontId="4" fillId="2" borderId="153" xfId="0" applyNumberFormat="1" applyFont="1" applyFill="1" applyBorder="1" applyAlignment="1">
      <alignment horizontal="right" vertical="top" wrapText="1"/>
    </xf>
    <xf numFmtId="0" fontId="0" fillId="0" borderId="39" xfId="0" applyFill="1" applyBorder="1">
      <alignment vertical="top" wrapText="1"/>
    </xf>
    <xf numFmtId="3" fontId="0" fillId="0" borderId="39" xfId="0" applyNumberFormat="1" applyFill="1" applyBorder="1" applyAlignment="1">
      <alignment horizontal="right" vertical="top" wrapText="1"/>
    </xf>
    <xf numFmtId="165" fontId="0" fillId="0" borderId="39" xfId="0" applyNumberFormat="1" applyFill="1" applyBorder="1">
      <alignment vertical="top" wrapText="1"/>
    </xf>
    <xf numFmtId="165" fontId="4" fillId="0" borderId="39" xfId="0" applyNumberFormat="1" applyFont="1" applyFill="1" applyBorder="1" applyAlignment="1">
      <alignment horizontal="right" vertical="top" wrapText="1"/>
    </xf>
    <xf numFmtId="3" fontId="0" fillId="0" borderId="39" xfId="0" applyNumberFormat="1" applyFill="1" applyBorder="1">
      <alignment vertical="top" wrapText="1"/>
    </xf>
    <xf numFmtId="1" fontId="5" fillId="0" borderId="39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Fill="1" applyBorder="1">
      <alignment vertical="top" wrapText="1"/>
    </xf>
    <xf numFmtId="49" fontId="5" fillId="0" borderId="39" xfId="0" applyNumberFormat="1" applyFont="1" applyFill="1" applyBorder="1" applyAlignment="1">
      <alignment horizontal="right" vertical="top" wrapText="1"/>
    </xf>
    <xf numFmtId="3" fontId="4" fillId="0" borderId="39" xfId="0" applyNumberFormat="1" applyFont="1" applyFill="1" applyBorder="1">
      <alignment vertical="top" wrapText="1"/>
    </xf>
    <xf numFmtId="3" fontId="5" fillId="0" borderId="39" xfId="0" applyNumberFormat="1" applyFont="1" applyFill="1" applyBorder="1" applyAlignment="1">
      <alignment horizontal="right" vertical="top" wrapText="1"/>
    </xf>
    <xf numFmtId="49" fontId="4" fillId="0" borderId="39" xfId="0" applyNumberFormat="1" applyFont="1" applyFill="1" applyBorder="1" applyAlignment="1">
      <alignment horizontal="right" vertical="top" wrapText="1"/>
    </xf>
    <xf numFmtId="0" fontId="4" fillId="0" borderId="39" xfId="0" applyFont="1" applyFill="1" applyBorder="1" applyAlignment="1">
      <alignment horizontal="right" vertical="top" wrapText="1"/>
    </xf>
    <xf numFmtId="3" fontId="4" fillId="0" borderId="39" xfId="0" applyNumberFormat="1" applyFont="1" applyFill="1" applyBorder="1" applyAlignment="1">
      <alignment horizontal="right" vertical="top" wrapText="1"/>
    </xf>
    <xf numFmtId="0" fontId="0" fillId="0" borderId="39" xfId="0" applyNumberFormat="1" applyFill="1" applyBorder="1">
      <alignment vertical="top" wrapText="1"/>
    </xf>
    <xf numFmtId="49" fontId="25" fillId="4" borderId="136" xfId="0" applyNumberFormat="1" applyFont="1" applyFill="1" applyBorder="1" applyAlignment="1">
      <alignment horizontal="center" vertical="top" wrapText="1"/>
    </xf>
    <xf numFmtId="3" fontId="4" fillId="9" borderId="151" xfId="0" applyNumberFormat="1" applyFont="1" applyFill="1" applyBorder="1">
      <alignment vertical="top" wrapText="1"/>
    </xf>
    <xf numFmtId="4" fontId="11" fillId="9" borderId="31" xfId="0" applyNumberFormat="1" applyFont="1" applyFill="1" applyBorder="1">
      <alignment vertical="top" wrapText="1"/>
    </xf>
    <xf numFmtId="49" fontId="9" fillId="4" borderId="152" xfId="0" applyNumberFormat="1" applyFont="1" applyFill="1" applyBorder="1" applyAlignment="1">
      <alignment horizontal="center" vertical="center" wrapText="1"/>
    </xf>
    <xf numFmtId="49" fontId="8" fillId="4" borderId="159" xfId="0" applyNumberFormat="1" applyFont="1" applyFill="1" applyBorder="1" applyAlignment="1">
      <alignment horizontal="center" vertical="center" wrapText="1"/>
    </xf>
    <xf numFmtId="164" fontId="9" fillId="9" borderId="8" xfId="1" applyFont="1" applyFill="1" applyBorder="1" applyAlignment="1">
      <alignment vertical="top" wrapText="1"/>
    </xf>
    <xf numFmtId="3" fontId="0" fillId="2" borderId="160" xfId="0" applyNumberFormat="1" applyFill="1" applyBorder="1">
      <alignment vertical="top" wrapText="1"/>
    </xf>
    <xf numFmtId="165" fontId="5" fillId="2" borderId="161" xfId="0" applyNumberFormat="1" applyFont="1" applyFill="1" applyBorder="1">
      <alignment vertical="top" wrapText="1"/>
    </xf>
    <xf numFmtId="165" fontId="0" fillId="2" borderId="161" xfId="0" applyNumberFormat="1" applyFill="1" applyBorder="1">
      <alignment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3" fontId="4" fillId="9" borderId="13" xfId="0" applyNumberFormat="1" applyFont="1" applyFill="1" applyBorder="1">
      <alignment vertical="top" wrapText="1"/>
    </xf>
    <xf numFmtId="3" fontId="6" fillId="2" borderId="12" xfId="0" applyNumberFormat="1" applyFont="1" applyFill="1" applyBorder="1">
      <alignment vertical="top" wrapText="1"/>
    </xf>
    <xf numFmtId="3" fontId="0" fillId="2" borderId="163" xfId="0" applyNumberFormat="1" applyFill="1" applyBorder="1" applyAlignment="1">
      <alignment horizontal="right" vertical="top" wrapText="1"/>
    </xf>
    <xf numFmtId="3" fontId="6" fillId="2" borderId="162" xfId="0" applyNumberFormat="1" applyFont="1" applyFill="1" applyBorder="1" applyAlignment="1">
      <alignment horizontal="right" vertical="top" wrapText="1"/>
    </xf>
    <xf numFmtId="2" fontId="8" fillId="10" borderId="8" xfId="0" applyNumberFormat="1" applyFont="1" applyFill="1" applyBorder="1">
      <alignment vertical="top" wrapText="1"/>
    </xf>
    <xf numFmtId="49" fontId="35" fillId="0" borderId="37" xfId="0" applyNumberFormat="1" applyFont="1" applyBorder="1" applyAlignment="1">
      <alignment horizontal="left" vertical="top" wrapText="1"/>
    </xf>
    <xf numFmtId="4" fontId="35" fillId="0" borderId="31" xfId="0" applyNumberFormat="1" applyFont="1" applyBorder="1">
      <alignment vertical="top" wrapText="1"/>
    </xf>
    <xf numFmtId="4" fontId="8" fillId="0" borderId="28" xfId="0" applyNumberFormat="1" applyFont="1" applyFill="1" applyBorder="1">
      <alignment vertical="top" wrapText="1"/>
    </xf>
    <xf numFmtId="4" fontId="8" fillId="0" borderId="42" xfId="0" applyNumberFormat="1" applyFont="1" applyFill="1" applyBorder="1">
      <alignment vertical="top" wrapText="1"/>
    </xf>
    <xf numFmtId="2" fontId="8" fillId="0" borderId="8" xfId="0" applyNumberFormat="1" applyFont="1" applyFill="1" applyBorder="1">
      <alignment vertical="top" wrapText="1"/>
    </xf>
    <xf numFmtId="4" fontId="8" fillId="0" borderId="8" xfId="0" applyNumberFormat="1" applyFont="1" applyFill="1" applyBorder="1">
      <alignment vertical="top" wrapText="1"/>
    </xf>
    <xf numFmtId="164" fontId="9" fillId="0" borderId="8" xfId="1" applyFont="1" applyFill="1" applyBorder="1" applyAlignment="1">
      <alignment vertical="top" wrapText="1"/>
    </xf>
    <xf numFmtId="0" fontId="0" fillId="0" borderId="0" xfId="0" applyNumberFormat="1" applyFill="1">
      <alignment vertical="top" wrapText="1"/>
    </xf>
    <xf numFmtId="49" fontId="0" fillId="4" borderId="152" xfId="0" applyNumberFormat="1" applyFill="1" applyBorder="1">
      <alignment vertical="top" wrapText="1"/>
    </xf>
    <xf numFmtId="3" fontId="0" fillId="2" borderId="164" xfId="0" applyNumberFormat="1" applyFill="1" applyBorder="1" applyAlignment="1">
      <alignment horizontal="right" vertical="top" wrapText="1"/>
    </xf>
    <xf numFmtId="3" fontId="0" fillId="2" borderId="165" xfId="0" applyNumberFormat="1" applyFill="1" applyBorder="1">
      <alignment vertical="top" wrapText="1"/>
    </xf>
    <xf numFmtId="3" fontId="0" fillId="2" borderId="159" xfId="0" applyNumberFormat="1" applyFill="1" applyBorder="1">
      <alignment vertical="top" wrapText="1"/>
    </xf>
    <xf numFmtId="165" fontId="0" fillId="2" borderId="40" xfId="0" applyNumberFormat="1" applyFill="1" applyBorder="1">
      <alignment vertical="top" wrapText="1"/>
    </xf>
    <xf numFmtId="164" fontId="11" fillId="8" borderId="149" xfId="1" applyFont="1" applyFill="1" applyBorder="1" applyAlignment="1">
      <alignment vertical="top" wrapText="1"/>
    </xf>
    <xf numFmtId="3" fontId="0" fillId="2" borderId="167" xfId="0" applyNumberFormat="1" applyFill="1" applyBorder="1">
      <alignment vertical="top" wrapText="1"/>
    </xf>
    <xf numFmtId="3" fontId="0" fillId="2" borderId="163" xfId="0" applyNumberFormat="1" applyFill="1" applyBorder="1">
      <alignment vertical="top" wrapText="1"/>
    </xf>
    <xf numFmtId="3" fontId="0" fillId="2" borderId="166" xfId="0" applyNumberFormat="1" applyFill="1" applyBorder="1">
      <alignment vertical="top" wrapText="1"/>
    </xf>
    <xf numFmtId="49" fontId="4" fillId="2" borderId="168" xfId="0" applyNumberFormat="1" applyFont="1" applyFill="1" applyBorder="1" applyAlignment="1">
      <alignment horizontal="right" vertical="top" wrapText="1"/>
    </xf>
    <xf numFmtId="165" fontId="0" fillId="2" borderId="8" xfId="0" applyNumberFormat="1" applyFill="1" applyBorder="1" applyAlignment="1">
      <alignment horizontal="right" vertical="top" wrapText="1"/>
    </xf>
    <xf numFmtId="164" fontId="9" fillId="4" borderId="8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vertical="top" wrapText="1"/>
    </xf>
    <xf numFmtId="164" fontId="9" fillId="4" borderId="5" xfId="1" applyFont="1" applyFill="1" applyBorder="1" applyAlignment="1">
      <alignment vertical="top" wrapText="1"/>
    </xf>
    <xf numFmtId="164" fontId="11" fillId="0" borderId="37" xfId="1" applyFont="1" applyBorder="1" applyAlignment="1">
      <alignment horizontal="left" vertical="top" wrapText="1"/>
    </xf>
    <xf numFmtId="164" fontId="9" fillId="2" borderId="7" xfId="1" applyFont="1" applyFill="1" applyBorder="1" applyAlignment="1">
      <alignment vertical="top" wrapText="1"/>
    </xf>
    <xf numFmtId="164" fontId="9" fillId="0" borderId="7" xfId="1" applyFont="1" applyFill="1" applyBorder="1" applyAlignment="1">
      <alignment vertical="top" wrapText="1"/>
    </xf>
    <xf numFmtId="164" fontId="6" fillId="0" borderId="0" xfId="1" applyFont="1" applyAlignment="1">
      <alignment vertical="top" wrapText="1"/>
    </xf>
    <xf numFmtId="164" fontId="8" fillId="4" borderId="8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vertical="top" wrapText="1"/>
    </xf>
    <xf numFmtId="164" fontId="8" fillId="4" borderId="148" xfId="1" applyFont="1" applyFill="1" applyBorder="1" applyAlignment="1">
      <alignment vertical="top" wrapText="1"/>
    </xf>
    <xf numFmtId="164" fontId="8" fillId="2" borderId="7" xfId="1" applyFont="1" applyFill="1" applyBorder="1" applyAlignment="1">
      <alignment vertical="top" wrapText="1"/>
    </xf>
    <xf numFmtId="164" fontId="0" fillId="0" borderId="0" xfId="1" applyFont="1" applyAlignment="1">
      <alignment vertical="top" wrapText="1"/>
    </xf>
    <xf numFmtId="49" fontId="4" fillId="4" borderId="5" xfId="0" applyNumberFormat="1" applyFont="1" applyFill="1" applyBorder="1">
      <alignment vertical="top" wrapText="1"/>
    </xf>
    <xf numFmtId="49" fontId="4" fillId="4" borderId="153" xfId="0" applyNumberFormat="1" applyFont="1" applyFill="1" applyBorder="1">
      <alignment vertical="top" wrapText="1"/>
    </xf>
    <xf numFmtId="0" fontId="0" fillId="2" borderId="6" xfId="0" applyFill="1" applyBorder="1">
      <alignment vertical="top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>
      <alignment vertical="top" wrapText="1"/>
    </xf>
    <xf numFmtId="0" fontId="0" fillId="2" borderId="8" xfId="0" applyFill="1" applyBorder="1">
      <alignment vertical="top" wrapText="1"/>
    </xf>
    <xf numFmtId="0" fontId="0" fillId="3" borderId="8" xfId="0" applyFill="1" applyBorder="1">
      <alignment vertical="top" wrapText="1"/>
    </xf>
    <xf numFmtId="0" fontId="0" fillId="2" borderId="7" xfId="0" applyFill="1" applyBorder="1">
      <alignment vertical="top" wrapText="1"/>
    </xf>
    <xf numFmtId="49" fontId="2" fillId="2" borderId="24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>
      <alignment vertical="top" wrapText="1"/>
    </xf>
    <xf numFmtId="0" fontId="0" fillId="6" borderId="8" xfId="0" applyFill="1" applyBorder="1">
      <alignment vertical="top" wrapText="1"/>
    </xf>
    <xf numFmtId="49" fontId="9" fillId="6" borderId="8" xfId="0" applyNumberFormat="1" applyFont="1" applyFill="1" applyBorder="1" applyAlignment="1">
      <alignment horizontal="left" vertical="center" wrapText="1"/>
    </xf>
    <xf numFmtId="0" fontId="0" fillId="7" borderId="8" xfId="0" applyFill="1" applyBorder="1">
      <alignment vertical="top" wrapText="1"/>
    </xf>
    <xf numFmtId="0" fontId="2" fillId="0" borderId="0" xfId="0" applyFont="1" applyAlignment="1">
      <alignment horizontal="center" vertical="center"/>
    </xf>
    <xf numFmtId="49" fontId="12" fillId="7" borderId="31" xfId="0" applyNumberFormat="1" applyFont="1" applyFill="1" applyBorder="1">
      <alignment vertical="top" wrapText="1"/>
    </xf>
    <xf numFmtId="0" fontId="11" fillId="7" borderId="31" xfId="0" applyFont="1" applyFill="1" applyBorder="1" applyAlignment="1">
      <alignment horizontal="center" vertical="top" wrapText="1"/>
    </xf>
    <xf numFmtId="0" fontId="11" fillId="7" borderId="31" xfId="0" applyFont="1" applyFill="1" applyBorder="1">
      <alignment vertical="top" wrapText="1"/>
    </xf>
    <xf numFmtId="0" fontId="0" fillId="7" borderId="31" xfId="0" applyFill="1" applyBorder="1">
      <alignment vertical="top" wrapText="1"/>
    </xf>
    <xf numFmtId="0" fontId="2" fillId="2" borderId="120" xfId="0" applyFont="1" applyFill="1" applyBorder="1" applyAlignment="1">
      <alignment horizontal="center" vertical="center"/>
    </xf>
    <xf numFmtId="0" fontId="2" fillId="2" borderId="144" xfId="0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left" vertical="center" wrapText="1"/>
    </xf>
    <xf numFmtId="0" fontId="0" fillId="4" borderId="8" xfId="0" applyFill="1" applyBorder="1">
      <alignment vertical="top" wrapText="1"/>
    </xf>
    <xf numFmtId="49" fontId="8" fillId="6" borderId="8" xfId="0" applyNumberFormat="1" applyFont="1" applyFill="1" applyBorder="1" applyAlignment="1">
      <alignment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0" fillId="2" borderId="5" xfId="0" applyFill="1" applyBorder="1">
      <alignment vertical="top" wrapText="1"/>
    </xf>
    <xf numFmtId="49" fontId="11" fillId="8" borderId="31" xfId="0" applyNumberFormat="1" applyFont="1" applyFill="1" applyBorder="1">
      <alignment vertical="top" wrapText="1"/>
    </xf>
    <xf numFmtId="0" fontId="0" fillId="8" borderId="31" xfId="0" applyFill="1" applyBorder="1">
      <alignment vertical="top" wrapText="1"/>
    </xf>
    <xf numFmtId="49" fontId="8" fillId="4" borderId="8" xfId="0" applyNumberFormat="1" applyFont="1" applyFill="1" applyBorder="1" applyAlignment="1">
      <alignment horizontal="left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>
      <alignment vertical="top" wrapText="1"/>
    </xf>
    <xf numFmtId="49" fontId="6" fillId="4" borderId="109" xfId="0" applyNumberFormat="1" applyFont="1" applyFill="1" applyBorder="1">
      <alignment vertical="top" wrapText="1"/>
    </xf>
    <xf numFmtId="0" fontId="4" fillId="4" borderId="111" xfId="0" applyFont="1" applyFill="1" applyBorder="1">
      <alignment vertical="top" wrapText="1"/>
    </xf>
    <xf numFmtId="0" fontId="4" fillId="4" borderId="105" xfId="0" applyFont="1" applyFill="1" applyBorder="1">
      <alignment vertical="top" wrapText="1"/>
    </xf>
    <xf numFmtId="49" fontId="19" fillId="2" borderId="96" xfId="0" applyNumberFormat="1" applyFont="1" applyFill="1" applyBorder="1" applyAlignment="1">
      <alignment horizontal="right" vertical="top" wrapText="1" readingOrder="1"/>
    </xf>
    <xf numFmtId="0" fontId="0" fillId="2" borderId="96" xfId="0" applyFill="1" applyBorder="1">
      <alignment vertical="top" wrapText="1"/>
    </xf>
    <xf numFmtId="49" fontId="19" fillId="2" borderId="96" xfId="0" applyNumberFormat="1" applyFont="1" applyFill="1" applyBorder="1" applyAlignment="1">
      <alignment vertical="top" wrapText="1" readingOrder="1"/>
    </xf>
    <xf numFmtId="49" fontId="0" fillId="2" borderId="96" xfId="0" applyNumberFormat="1" applyFill="1" applyBorder="1">
      <alignment vertical="top" wrapText="1"/>
    </xf>
    <xf numFmtId="0" fontId="0" fillId="2" borderId="116" xfId="0" applyFill="1" applyBorder="1">
      <alignment vertical="top" wrapText="1"/>
    </xf>
    <xf numFmtId="49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19" fillId="3" borderId="70" xfId="0" applyNumberFormat="1" applyFont="1" applyFill="1" applyBorder="1" applyAlignment="1">
      <alignment horizontal="left" vertical="top" wrapText="1" readingOrder="1"/>
    </xf>
    <xf numFmtId="0" fontId="4" fillId="4" borderId="71" xfId="0" applyFont="1" applyFill="1" applyBorder="1">
      <alignment vertical="top" wrapText="1"/>
    </xf>
    <xf numFmtId="0" fontId="4" fillId="4" borderId="72" xfId="0" applyFont="1" applyFill="1" applyBorder="1">
      <alignment vertical="top" wrapText="1"/>
    </xf>
    <xf numFmtId="49" fontId="19" fillId="3" borderId="63" xfId="0" applyNumberFormat="1" applyFont="1" applyFill="1" applyBorder="1" applyAlignment="1">
      <alignment horizontal="left" vertical="top" wrapText="1" readingOrder="1"/>
    </xf>
    <xf numFmtId="0" fontId="4" fillId="4" borderId="64" xfId="0" applyFont="1" applyFill="1" applyBorder="1">
      <alignment vertical="top" wrapText="1"/>
    </xf>
    <xf numFmtId="0" fontId="4" fillId="4" borderId="65" xfId="0" applyFont="1" applyFill="1" applyBorder="1">
      <alignment vertical="top" wrapText="1"/>
    </xf>
    <xf numFmtId="0" fontId="19" fillId="2" borderId="96" xfId="0" applyFont="1" applyFill="1" applyBorder="1" applyAlignment="1">
      <alignment vertical="top" wrapText="1" readingOrder="1"/>
    </xf>
    <xf numFmtId="49" fontId="19" fillId="3" borderId="103" xfId="0" applyNumberFormat="1" applyFont="1" applyFill="1" applyBorder="1" applyAlignment="1">
      <alignment horizontal="center" vertical="top" wrapText="1"/>
    </xf>
    <xf numFmtId="0" fontId="19" fillId="3" borderId="104" xfId="0" applyFont="1" applyFill="1" applyBorder="1">
      <alignment vertical="top" wrapText="1"/>
    </xf>
    <xf numFmtId="0" fontId="19" fillId="3" borderId="105" xfId="0" applyFont="1" applyFill="1" applyBorder="1" applyAlignment="1">
      <alignment horizontal="left" vertical="top" wrapText="1"/>
    </xf>
    <xf numFmtId="49" fontId="1" fillId="2" borderId="118" xfId="0" applyNumberFormat="1" applyFont="1" applyFill="1" applyBorder="1" applyAlignment="1">
      <alignment horizontal="center" vertical="center"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" fillId="2" borderId="121" xfId="0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left" vertical="top" wrapText="1"/>
    </xf>
    <xf numFmtId="0" fontId="6" fillId="4" borderId="8" xfId="0" applyFont="1" applyFill="1" applyBorder="1">
      <alignment vertical="top" wrapText="1"/>
    </xf>
    <xf numFmtId="0" fontId="25" fillId="2" borderId="8" xfId="0" applyFont="1" applyFill="1" applyBorder="1">
      <alignment vertical="top" wrapText="1"/>
    </xf>
    <xf numFmtId="0" fontId="28" fillId="2" borderId="8" xfId="0" applyFont="1" applyFill="1" applyBorder="1">
      <alignment vertical="top" wrapText="1"/>
    </xf>
    <xf numFmtId="49" fontId="25" fillId="2" borderId="8" xfId="0" applyNumberFormat="1" applyFont="1" applyFill="1" applyBorder="1">
      <alignment vertical="top" wrapText="1"/>
    </xf>
    <xf numFmtId="49" fontId="0" fillId="4" borderId="8" xfId="0" applyNumberForma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left" vertical="top" wrapText="1"/>
    </xf>
    <xf numFmtId="49" fontId="6" fillId="4" borderId="8" xfId="0" applyNumberFormat="1" applyFont="1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  <rgbColor rgb="FF3F3F3F"/>
      <rgbColor rgb="FFDBDBDB"/>
      <rgbColor rgb="FF515151"/>
      <rgbColor rgb="FFBDBDBD"/>
      <rgbColor rgb="FFFF644E"/>
      <rgbColor rgb="FFDDDDDD"/>
      <rgbColor rgb="FFBDC0BF"/>
      <rgbColor rgb="FFBDC0BF"/>
      <rgbColor rgb="FFA7A7A7"/>
      <rgbColor rgb="FFA5A5A5"/>
      <rgbColor rgb="FF3F3F3F"/>
      <rgbColor rgb="FFDBDBDB"/>
      <rgbColor rgb="FF3FB9FF"/>
      <rgbColor rgb="FF919191"/>
      <rgbColor rgb="FFDFDFDF"/>
      <rgbColor rgb="FFCCCCCC"/>
      <rgbColor rgb="FFF2F1EE"/>
      <rgbColor rgb="FFF0F0F0"/>
      <rgbColor rgb="FFED220B"/>
      <rgbColor rgb="FFD9D9D9"/>
      <rgbColor rgb="FFEDEC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2348280</xdr:colOff>
      <xdr:row>87</xdr:row>
      <xdr:rowOff>116506</xdr:rowOff>
    </xdr:from>
    <xdr:to>
      <xdr:col>0</xdr:col>
      <xdr:colOff>2348640</xdr:colOff>
      <xdr:row>87</xdr:row>
      <xdr:rowOff>116866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B00FCB5B-842F-9C5D-2D82-75E06E87B9C0}"/>
                </a:ext>
              </a:extLst>
            </xdr14:cNvPr>
            <xdr14:cNvContentPartPr/>
          </xdr14:nvContentPartPr>
          <xdr14:nvPr macro=""/>
          <xdr14:xfrm>
            <a:off x="2348280" y="18806673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B00FCB5B-842F-9C5D-2D82-75E06E87B9C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339280" y="1879803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2333880</xdr:colOff>
      <xdr:row>82</xdr:row>
      <xdr:rowOff>164680</xdr:rowOff>
    </xdr:from>
    <xdr:to>
      <xdr:col>2</xdr:col>
      <xdr:colOff>17869</xdr:colOff>
      <xdr:row>87</xdr:row>
      <xdr:rowOff>7426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F8847B85-0F60-3176-8532-144AC57C159C}"/>
                </a:ext>
              </a:extLst>
            </xdr14:cNvPr>
            <xdr14:cNvContentPartPr/>
          </xdr14:nvContentPartPr>
          <xdr14:nvPr macro=""/>
          <xdr14:xfrm>
            <a:off x="2333880" y="17796513"/>
            <a:ext cx="1317600" cy="90108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F8847B85-0F60-3176-8532-144AC57C159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25238" y="17787517"/>
              <a:ext cx="1335245" cy="918713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14T17:19:51.39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7 2090 24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14T17:20:04.6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155 1510 1888,'-11'-4'977,"10"3"-705,-11-7-168,0-3 24,14-1-24,-2 0-24,-2 0-80,6 1-96,-6 2-312,-1-1-240,-2 1-385,5 8 169</inkml:trace>
  <inkml:trace contextRef="#ctx0" brushRef="#br0" timeOffset="645.71">130 1339 1744,'-6'-11'2758,"6"11"-2678,-1-1 0,1 1 0,-2-1 0,2 0 0,0 1 0,-1-1 0,1 0 0,0 1 1,-1-1-1,1 0 0,0 0 0,0 1 0,-1-1 0,2-6 5900,3 14-6046,-2 3 217,2 0 0,-3 1 0,2-1 0,-2 0 0,-1 14-1,1 13 47,2 7 63,-5 0 1,-8 58-1,4-53-102,5-39-128,-2 0 1,1-1 0,-1 1-1,0 0 1,-1-1 0,-1 1-1,0-1 1,0 0 0,-1 0-1,0 0 1,-10 10 0,16-19-30,0 0-1,-2 0 1,2 1 0,0-1 0,0 0 0,0 0 0,-1 1 0,1-1 0,0 0 0,0 0-1,0 1 1,-1-1 0,1 0 0,0 0 0,0 0 0,-1 0 0,1 0 0,0 1-1,-2-1 1,2 0 0,0 0 0,0 0 0,-1 0 0,1 0 0,0 0 0,-1 0 0,1 0-1,0 0 1,-1 0 0,1 0 0,0 0 0,0 0 0,-2 0 0,2 0 0,0 0 0,-1-1-1,1 1 1,0 0 0,0 0 0,-1 0 0,1 0 0,0 0 0,0-1 0,-1 1 0,1 0-1,0 0 1,0-1 0,0 1 0,-2 0 0,2 0 0,0-1 0,0 1 0,0 0-1,0 0 1,0-1 0,-1 0 0,-5-17-14,5 16 12,-13-55-338,-7-105 0,21 147 328,0 1 0,1-1-1,0 0 1,2 0 0,1 1 0,-1-1-1,2 1 1,2 0 0,-1 0-1,12-18 1,-18 31 18,2 0-1,-2 0 0,1-1 1,0 1-1,-1 0 1,1 0-1,1 0 0,-1 0 1,0 0-1,0 0 1,1 0-1,-1 0 1,0 0-1,0 1 0,1-1 1,-1 0-1,1 1 1,0-1-1,-1 0 0,0 1 1,1 0-1,0-1 1,-1 1-1,1 0 1,0 0-1,-1-1 0,1 1 1,0 0-1,-1 0 1,1 1-1,0-1 0,-1 0 1,1 0-1,0 1 1,-1-1-1,1 1 1,0-1-1,-1 1 0,0-1 1,3 2-1,4 3 113,0 0-1,-1 1 1,1-1 0,-1 1-1,9 11 1,-6-7 44,-1-1-112,1-1 0,0 1 0,0-1 0,1-1 0,0 0 0,0 0 0,15 6 1,-21-11-52,2 0 1,-2 0-1,1-1 1,-1 1 0,1-1-1,-1 0 1,1-1-1,0 1 1,-1-1 0,1 0-1,1 0 1,-2 0-1,1-1 1,0 1 0,-1-1-1,1-1 1,-1 1-1,1 0 1,-1-1 0,8-3-1,-1-1-5,1 0 1,-2-1-1,1 0 0,-2-1 0,1 1 0,-1-2 0,0 1 1,-1-1-1,9-12 0,-1 1-62,-1-1 0,-3 0 0,17-34 0,-21 34-17,0 0-1,-3-2 1,0 1-1,1-35 1,-3-91-28,-4 95 147,1 43 0,2 11 18,3 20 70,78 537 2079,-76-492-1883,66 463 1344,-65-497-1881,1-1 0,2 1 0,2-1 0,2-1 0,0 0 1,30 35-1,18 7-4440,9-7-5063,-50-47 7682</inkml:trace>
  <inkml:trace contextRef="#ctx0" brushRef="#br0" timeOffset="2157.88">1076 1389 6217,'-1'0'117,"-2"0"-1,1 0 0,-1 0 0,2 0 1,-1-1-1,-1 1 0,1-1 0,0 1 1,0-1-1,-1 1 0,2-1 1,-1 0-1,0 0 0,0 0 0,1 0 1,-1 0-1,0 0 0,1 0 0,0 0 1,-2-1-1,1-1 0,-1 2-102,2-1 43,-2 1 0,2-1 0,-1 1 1,-1 0-1,2 0 0,-2 0 1,1 0-1,-1 0 0,1 0 1,-1 0-1,1 1 0,0-1 1,-1 1-1,1-1 0,-1 1 1,1 0-1,-2 0 0,1 0 1,1 0-1,-1 0 0,1 0 0,-1 1 1,1-1-1,-1 1 0,1-1 1,0 1-1,-1 0 0,1 0 1,-1 0-1,1 0 0,-1 0 1,2 0-1,-2 1 0,1-1 1,1 0-1,-2 1 0,2-1 1,0 1-1,-2 0 0,2-1 0,0 1 1,-1 0-1,0 2 0,-4 4 46,0-1 0,-1 1 0,0-1-1,-12 10 1,12-12-70,1 1 0,-1-1 0,1 1 1,1 1-1,0-1 0,0 1 0,-3 7 0,8-14-33,-9 27 133,9-26-119,0 1-1,1-1 1,-1 1 0,1-1-1,-1 1 1,2-1 0,-1 1-1,0-1 1,-1 0 0,1 1-1,1-1 1,-1 0 0,4 2-1,-1 1 32,-1 0-1,2 0 1,-1-1-1,1 1 1,0-1-1,0 0 1,9 3-1,-12-5-42,1 0 1,0 0-1,0-1 0,0 1 0,0-1 1,1 0-1,-2 1 0,2-1 0,-2 0 1,2-1-1,-1 1 0,0 0 0,0-1 1,0 1-1,0-1 0,-1 0 1,2 0-1,1-1 0,15-5-3,-1 0 0,-1-1 0,0-1 1,-1-1-1,0 0 0,0 0 0,-1-2 0,13-12 0,-16 13-9,-2 1 10,0 0-1,25-17 0,-36 27 3,1 0 0,1-1 0,-2 1 0,1-1 0,0 1 0,0 0 0,-1 0 1,2-1-1,-1 1 0,0 0 0,0 0 0,-1 0 0,2 0 0,-1 0 0,0 0 0,0 0 0,1 0 0,-2 0 0,1 0 0,0 1 0,0-1 0,-1 0 0,2 1 0,-1-1 0,0 0 0,-1 1 1,1-1-1,0 1 0,-1-1 0,2 1 0,-1-1 0,-1 1 0,1-1 0,-1 1 0,1 0 0,1 1 0,24 33 350,-13-15-109,-13-19-239,2 0 0,-1 0 0,-1 0 0,1 0-1,0 0 1,1 0 0,-1 0 0,0 0 0,0 0 0,1 0 0,-1-1 0,0 1 0,2 0 0,-2-1 0,0 1 0,0-1 0,2 1-1,-2-1 1,0 1 0,0-1 0,2 0 0,-2 0 0,0 0 0,2 0 0,-2 0 0,0 0 0,2 0 0,-2 0 0,0-1-1,2 1 1,-2 0 0,0-1 0,2 1 0,-2-1 0,0 1 0,1-1 0,-1 0 0,0 1 0,0-1 0,3-1 0,3-4 5,0 1 1,0-1 0,-1-1 0,1 1 0,5-10-1,-8 12-8,32-33 11,-29 30-19,1 0-1,-1-1 0,0 1 1,0-2-1,-1 1 0,8-17 1,-5 2-41,-1-2 1,-2 2-1,5-44 1,-6-75 76,-2 26 10,12-15 82,-12 111 43,2-1-1,0 0 1,3 1 0,10-21-1,-18 39-115,2 1 0,-2-1 0,1 1-1,0 0 1,-1-1 0,1 1 0,1 0 0,-1 0 0,0 0-1,0 0 1,1 0 0,-1 0 0,2-2 0,-1 3-16,-2 0 1,1 0-1,-1 0 1,0 0-1,1 0 1,-1 0-1,1 0 1,-1 0-1,0 0 1,2 0-1,-2 0 1,1 0-1,-1 0 1,0 0-1,1 0 0,-1 1 1,1-1-1,-1 0 1,0 0-1,2 0 1,-2 1-1,0-1 1,1 0-1,-1 1 1,0-1-1,0 0 1,1 0-1,-1 1 1,0-1-1,1 1 1,2 4 202,1 1 1,-2-1 0,1 1 0,-1-1 0,3 12-1,99 286 1551,-53-165-1604,-38-106-275,1 0 1,3-1-1,37 51 1,36 26-4462,-83-100 3358,19 21-3409,-25-28 4399,1 0 0,-2-1 0,1 1 0,-1 0 0,1-1 0,-1 1 0,0 0 0,1 0 0,-1 0 0,0-1 0,2 1 0,-2 0 0,0 0 0,0 0 0,0 0 0,0 0 0,0-1 0,0 1 0,0 0 0,0 0 0,0 0 0,0 0 0,0 0 0,-2-1 0,2 1 0,0 0 0,-1 0 0,0 0 0,-2 0 11,1 0 0,-1-1 0,1 1 1,-1-1-1,0 0 0,0 1 0,1-1 0,-1 0 0,1-1 0,-2 1 0,-2-1 0</inkml:trace>
  <inkml:trace contextRef="#ctx0" brushRef="#br0" timeOffset="2490.34">2039 1132 11074,'-51'-5'7290,"2"6"-5474,49 5-2392,18-1-672,8-4-2425,4 11-4121</inkml:trace>
  <inkml:trace contextRef="#ctx0" brushRef="#br0" timeOffset="3971.55">2621 453 2585,'-1'-10'1841,"1"10"-1804,1 0 0,-1-1 1,0 1-1,0 0 1,0-1-1,0 1 1,0 0-1,0 0 1,0-1-1,0 1 1,0 0-1,0-1 1,0 1-1,0 0 1,0-1-1,0 1 1,-1 0-1,1-1 0,0 1 1,0 0-1,0 0 1,0-1-1,0 1 1,-1 0-1,1 0 1,0-1-1,0 1 1,-1 0-1,1 0 1,0-1-1,0 1 1,-2 0-1,2 0 1,0 0-1,-2-1 1594,-5 40 1789,12-17-3292,2 0 0,0 0 0,2-1 1,21 37-1,-9-19-1,-5-5 141,45 62 1,-55-87-193,2 0-1,-1-1 1,2 0 0,-2 0-1,3 0 1,-1-1-1,1 0 1,0 0-1,0-1 1,1 0 0,20 8-1,-29-13-57,2 1 1,0-1-1,-2 0 0,2-1 1,0 1-1,-1 0 0,1-1 1,-1 0-1,0 1 0,1-1 1,0 0-1,-1-1 0,1 1 1,0 0-1,-2-1 0,2 0 1,0 1-1,0-1 0,-2 0 1,2 0-1,0-1 0,-2 1 1,2-1-1,-2 1 0,1-1 1,-1 0-1,2 0 0,-2 0 1,1 0-1,-1 0 0,0 0 1,3-4-1,4-6-12,1-1-1,-2 0 1,1-1-1,8-28 1,-10 26 9,1-4-27,-1 1 0,-2-2-1,0 1 1,-1 0 0,0-38-1,-18-101-249,7 111 307,2-97 0,6 135 59,0 1 0,0 0 1,2 0-1,-1 0 0,1 0 1,0 1-1,2-1 0,-1 1 1,1 0-1,1 0 0,12-14 1,-8 13-53,-2 1 0,2 0 1,0 1-1,1 0 1,1 0-1,-1 1 1,0 0-1,1 0 0,21-6 1,-4 3-48,1 1 0,0 0 0,0 2 1,1 1-1,0 1 0,1 1 0,54 1 0,-80 2-4,1 0-1,1 1 1,-1-1-1,1 1 1,-2 1-1,1-1 1,1 1-1,-2 0 1,1 0-1,0 0 1,-1 1 0,0 0-1,0 0 1,1 1-1,-1-1 1,-1 1-1,1 0 1,-1 0-1,0 0 1,0 1-1,-1-1 1,-1 1-1,2 0 1,-1 0-1,-2 0 1,2 0-1,2 8 1,-2 0 0,0 0 1,0 0-1,-2 1 0,-1-1 1,-1 0-1,1 0 0,-2 1 1,0-1-1,-1 0 0,-1 0 1,-6 17-1,-13 31 19,-3-1 0,-3-1 0,-3-1 0,-64 84 0,-280 302 1427,19-68 48,352-371-1483,-177 187 512,154-168-489,1 1 0,1 2 1,3 0-1,-26 38 0,41-43-18,7-22-14,0 1 0,0-1-1,0 1 1,0-1 0,0 1-1,0-1 1,0 1 0,0-1 0,0 0-1,0 1 1,0-1 0,1 1-1,-1-1 1,0 0 0,0 1-1,1-1 1,-1 1 0,0-1 0,0 0-1,2 1 1,-2-1 0,0 0-1,1 1 1,0-1 0,2 1 10,-1-1 0,1 0 0,-1 0 1,1 0-1,-1 0 0,1 0 0,-1 0 0,1 0 1,-1-1-1,1 1 0,-1-1 0,0 1 0,0-1 1,3-1-1,15-5 40,-2 0 1,1-1-1,-2-1 1,28-16 0,-7 3-30,350-173-236,-298 154-222,1 3 0,107-30 0,-63 32-2728,-1 10-3847,-102 21 4045,34-9 1,-61 13 2778,-2-1 1,2 0-1,0 0 0,0 0 0,-1 0 0,1-1 1,-1 0-1,4-3 0</inkml:trace>
  <inkml:trace contextRef="#ctx0" brushRef="#br0" timeOffset="4353.66">4455 1660 23133,'1'-3'1848,"36"8"-3712,12-1-417</inkml:trace>
</inkml:ink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88"/>
  <sheetViews>
    <sheetView showGridLines="0" tabSelected="1" topLeftCell="A71" zoomScale="90" zoomScaleNormal="90" workbookViewId="0">
      <selection activeCell="B75" sqref="B75"/>
    </sheetView>
  </sheetViews>
  <sheetFormatPr baseColWidth="10" defaultColWidth="16.33203125" defaultRowHeight="21.25" customHeight="1"/>
  <cols>
    <col min="1" max="1" width="34.33203125" style="1" customWidth="1"/>
    <col min="2" max="2" width="17.6640625" style="1" customWidth="1"/>
    <col min="3" max="3" width="17.6640625" style="502" customWidth="1"/>
    <col min="4" max="4" width="2.5" style="529" customWidth="1"/>
    <col min="5" max="5" width="1.6640625" style="529" customWidth="1"/>
    <col min="6" max="6" width="17.6640625" style="1" customWidth="1"/>
    <col min="7" max="7" width="17.6640625" style="502" customWidth="1"/>
    <col min="8" max="8" width="17.6640625" style="1" customWidth="1"/>
    <col min="9" max="10" width="17.6640625" style="502" customWidth="1"/>
    <col min="11" max="11" width="17.6640625" style="1" customWidth="1"/>
    <col min="12" max="12" width="13.5" style="1" customWidth="1"/>
    <col min="13" max="13" width="15.5" style="1" customWidth="1"/>
    <col min="14" max="17" width="14.33203125" style="1" customWidth="1"/>
    <col min="18" max="18" width="13.83203125" style="1" customWidth="1"/>
    <col min="19" max="20" width="14.33203125" style="1" customWidth="1"/>
    <col min="21" max="21" width="16.33203125" style="1" customWidth="1"/>
    <col min="22" max="16384" width="16.33203125" style="1"/>
  </cols>
  <sheetData>
    <row r="1" spans="1:20" ht="28.75" customHeight="1">
      <c r="A1" s="580" t="s">
        <v>506</v>
      </c>
      <c r="B1" s="581"/>
      <c r="C1" s="581"/>
      <c r="D1" s="581"/>
      <c r="E1" s="581"/>
      <c r="F1" s="581"/>
      <c r="G1" s="581"/>
      <c r="H1" s="582"/>
      <c r="I1" s="582"/>
      <c r="J1" s="582"/>
      <c r="K1" s="582"/>
      <c r="L1" s="582"/>
      <c r="M1" s="583"/>
      <c r="N1" s="583"/>
      <c r="O1" s="583"/>
      <c r="P1" s="583"/>
      <c r="Q1" s="583"/>
      <c r="R1" s="583"/>
      <c r="S1" s="584"/>
      <c r="T1" s="2"/>
    </row>
    <row r="2" spans="1:20" ht="17" customHeight="1">
      <c r="A2" s="3" t="s">
        <v>0</v>
      </c>
      <c r="B2" s="4"/>
      <c r="C2" s="500"/>
      <c r="D2" s="516"/>
      <c r="E2" s="516"/>
      <c r="F2" s="4"/>
      <c r="G2" s="500"/>
      <c r="H2" s="4"/>
      <c r="I2" s="500"/>
      <c r="J2" s="503"/>
      <c r="K2" s="4"/>
      <c r="L2" s="4"/>
      <c r="M2" s="5"/>
      <c r="N2" s="6"/>
      <c r="O2" s="6"/>
      <c r="P2" s="6"/>
      <c r="Q2" s="6"/>
      <c r="R2" s="587"/>
      <c r="S2" s="586"/>
      <c r="T2" s="7"/>
    </row>
    <row r="3" spans="1:20" ht="17" customHeight="1">
      <c r="A3" s="9"/>
      <c r="B3" s="579" t="s">
        <v>513</v>
      </c>
      <c r="C3" s="578"/>
      <c r="D3" s="516"/>
      <c r="E3" s="516"/>
      <c r="F3" s="579" t="s">
        <v>510</v>
      </c>
      <c r="G3" s="578"/>
      <c r="H3" s="579" t="s">
        <v>1</v>
      </c>
      <c r="I3" s="578"/>
      <c r="J3" s="579" t="s">
        <v>2</v>
      </c>
      <c r="K3" s="578"/>
      <c r="L3" s="579" t="s">
        <v>3</v>
      </c>
      <c r="M3" s="588"/>
      <c r="N3" s="585" t="s">
        <v>4</v>
      </c>
      <c r="O3" s="586"/>
      <c r="P3" s="585" t="s">
        <v>5</v>
      </c>
      <c r="Q3" s="586"/>
      <c r="R3" s="585" t="s">
        <v>6</v>
      </c>
      <c r="S3" s="586"/>
      <c r="T3" s="11"/>
    </row>
    <row r="4" spans="1:20" ht="17" customHeight="1">
      <c r="A4" s="3" t="s">
        <v>7</v>
      </c>
      <c r="B4" s="4"/>
      <c r="C4" s="500"/>
      <c r="D4" s="516"/>
      <c r="E4" s="516"/>
      <c r="F4" s="4"/>
      <c r="G4" s="500"/>
      <c r="H4" s="4"/>
      <c r="I4" s="500"/>
      <c r="J4" s="503"/>
      <c r="K4" s="4"/>
      <c r="L4" s="4"/>
      <c r="M4" s="5"/>
      <c r="N4" s="11" t="s">
        <v>8</v>
      </c>
      <c r="O4" s="11" t="s">
        <v>8</v>
      </c>
      <c r="P4" s="11" t="s">
        <v>8</v>
      </c>
      <c r="Q4" s="11" t="s">
        <v>8</v>
      </c>
      <c r="R4" s="12" t="s">
        <v>8</v>
      </c>
      <c r="S4" s="12" t="s">
        <v>8</v>
      </c>
      <c r="T4" s="12"/>
    </row>
    <row r="5" spans="1:20" ht="17" customHeight="1">
      <c r="A5" s="13" t="s">
        <v>9</v>
      </c>
      <c r="B5" s="14"/>
      <c r="C5" s="60">
        <f>'Income 2023-2024 - Table 1-1'!I109</f>
        <v>3063.44</v>
      </c>
      <c r="D5" s="517"/>
      <c r="E5" s="517"/>
      <c r="F5" s="14"/>
      <c r="G5" s="60">
        <v>2952</v>
      </c>
      <c r="H5" s="14"/>
      <c r="I5" s="60">
        <f>'Income 2021-2022 - Table 1-1'!I72</f>
        <v>2896.01</v>
      </c>
      <c r="J5" s="504"/>
      <c r="K5" s="14">
        <f>'Income 2020 to 2021 - Table 1-1'!H59</f>
        <v>2980</v>
      </c>
      <c r="L5" s="14"/>
      <c r="M5" s="15">
        <f>'Income TNRA 2019 to 2020'!H98</f>
        <v>2603</v>
      </c>
      <c r="N5" s="16"/>
      <c r="O5" s="16">
        <f>'Income - TNRA INCOME 2018 to 20'!H93-47</f>
        <v>2878.39</v>
      </c>
      <c r="P5" s="16"/>
      <c r="Q5" s="16">
        <v>2871</v>
      </c>
      <c r="R5" s="16"/>
      <c r="S5" s="16">
        <v>2848</v>
      </c>
      <c r="T5" s="16"/>
    </row>
    <row r="6" spans="1:20" ht="17" customHeight="1">
      <c r="A6" s="13" t="s">
        <v>10</v>
      </c>
      <c r="B6" s="14"/>
      <c r="C6" s="60">
        <f>'Income 2023-2024 - Table 1-1'!J109</f>
        <v>123</v>
      </c>
      <c r="D6" s="517"/>
      <c r="E6" s="517"/>
      <c r="F6" s="14"/>
      <c r="G6" s="60">
        <v>165</v>
      </c>
      <c r="H6" s="14"/>
      <c r="I6" s="60">
        <f>'Income 2021-2022 - Table 1-1'!J72</f>
        <v>60</v>
      </c>
      <c r="J6" s="504"/>
      <c r="K6" s="14">
        <f>'Income 2020 to 2021 - Table 1-1'!I59</f>
        <v>112</v>
      </c>
      <c r="L6" s="14"/>
      <c r="M6" s="15">
        <f>'Income TNRA 2019 to 2020'!I98</f>
        <v>60</v>
      </c>
      <c r="N6" s="16"/>
      <c r="O6" s="16">
        <f>'Income - TNRA INCOME 2018 to 20'!I93+47</f>
        <v>107</v>
      </c>
      <c r="P6" s="16"/>
      <c r="Q6" s="16">
        <v>155</v>
      </c>
      <c r="R6" s="16"/>
      <c r="S6" s="16">
        <v>160</v>
      </c>
      <c r="T6" s="16"/>
    </row>
    <row r="7" spans="1:20" ht="17" customHeight="1">
      <c r="A7" s="13" t="s">
        <v>11</v>
      </c>
      <c r="B7" s="14"/>
      <c r="C7" s="60">
        <f>'Income 2023-2024 - Table 1-1'!K109</f>
        <v>123</v>
      </c>
      <c r="D7" s="517"/>
      <c r="E7" s="517"/>
      <c r="F7" s="14"/>
      <c r="G7" s="60">
        <v>239</v>
      </c>
      <c r="H7" s="14"/>
      <c r="I7" s="60">
        <f>'Income 2021-2022 - Table 1-1'!K72</f>
        <v>95</v>
      </c>
      <c r="J7" s="504"/>
      <c r="K7" s="14">
        <f>'Income 2020 to 2021 - Table 1-1'!J59</f>
        <v>113</v>
      </c>
      <c r="L7" s="14"/>
      <c r="M7" s="15">
        <f>'Income TNRA 2019 to 2020'!J98</f>
        <v>70</v>
      </c>
      <c r="N7" s="16"/>
      <c r="O7" s="16">
        <f>'Income - TNRA INCOME 2018 to 20'!J93</f>
        <v>130.5</v>
      </c>
      <c r="P7" s="16"/>
      <c r="Q7" s="16">
        <v>39</v>
      </c>
      <c r="R7" s="16"/>
      <c r="S7" s="16">
        <v>114.75</v>
      </c>
      <c r="T7" s="16"/>
    </row>
    <row r="8" spans="1:20" ht="17" customHeight="1">
      <c r="A8" s="13" t="s">
        <v>12</v>
      </c>
      <c r="B8" s="14"/>
      <c r="C8" s="60">
        <f>'Income 2023-2024 - Table 1-1'!L109</f>
        <v>302.3</v>
      </c>
      <c r="D8" s="517"/>
      <c r="E8" s="517"/>
      <c r="F8" s="14"/>
      <c r="G8" s="60">
        <v>420</v>
      </c>
      <c r="H8" s="14"/>
      <c r="I8" s="60">
        <f>'Income 2021-2022 - Table 1-1'!L72</f>
        <v>275.55</v>
      </c>
      <c r="J8" s="504"/>
      <c r="K8" s="14">
        <f>'Income 2020 to 2021 - Table 1-1'!K59</f>
        <v>211.25</v>
      </c>
      <c r="L8" s="14"/>
      <c r="M8" s="15">
        <f>'Income TNRA 2019 to 2020'!K98</f>
        <v>569.80000000000007</v>
      </c>
      <c r="N8" s="16"/>
      <c r="O8" s="16">
        <f>'Income - TNRA INCOME 2018 to 20'!K93</f>
        <v>460.90000000000003</v>
      </c>
      <c r="P8" s="16"/>
      <c r="Q8" s="16">
        <v>481</v>
      </c>
      <c r="R8" s="16"/>
      <c r="S8" s="16">
        <v>463.6</v>
      </c>
      <c r="T8" s="16"/>
    </row>
    <row r="9" spans="1:20" ht="17" customHeight="1">
      <c r="A9" s="13" t="s">
        <v>13</v>
      </c>
      <c r="B9" s="14"/>
      <c r="C9" s="60">
        <v>0</v>
      </c>
      <c r="D9" s="518"/>
      <c r="E9" s="518"/>
      <c r="F9" s="14"/>
      <c r="G9" s="60">
        <v>0</v>
      </c>
      <c r="H9" s="14"/>
      <c r="I9" s="60">
        <v>0</v>
      </c>
      <c r="J9" s="504"/>
      <c r="K9" s="14">
        <f>'Income 2020 to 2021 - Table 1-1'!K60</f>
        <v>0</v>
      </c>
      <c r="L9" s="14"/>
      <c r="M9" s="15">
        <v>0</v>
      </c>
      <c r="N9" s="15"/>
      <c r="O9" s="16">
        <v>0</v>
      </c>
      <c r="P9" s="16"/>
      <c r="Q9" s="16">
        <v>0</v>
      </c>
      <c r="R9" s="16"/>
      <c r="S9" s="16">
        <v>0</v>
      </c>
      <c r="T9" s="16"/>
    </row>
    <row r="10" spans="1:20" ht="17" customHeight="1">
      <c r="A10" s="13" t="s">
        <v>14</v>
      </c>
      <c r="B10" s="14"/>
      <c r="C10" s="60">
        <v>0</v>
      </c>
      <c r="D10" s="518"/>
      <c r="E10" s="518"/>
      <c r="F10" s="14"/>
      <c r="G10" s="60">
        <v>0</v>
      </c>
      <c r="H10" s="14"/>
      <c r="I10" s="60">
        <v>0</v>
      </c>
      <c r="J10" s="504"/>
      <c r="K10" s="14">
        <f>'Income 2020 to 2021 - Table 1-1'!K61</f>
        <v>0</v>
      </c>
      <c r="L10" s="14"/>
      <c r="M10" s="15">
        <v>0</v>
      </c>
      <c r="N10" s="15"/>
      <c r="O10" s="16">
        <v>0</v>
      </c>
      <c r="P10" s="16"/>
      <c r="Q10" s="16">
        <v>0</v>
      </c>
      <c r="R10" s="16"/>
      <c r="S10" s="16">
        <v>0</v>
      </c>
      <c r="T10" s="16"/>
    </row>
    <row r="11" spans="1:20" ht="17" customHeight="1">
      <c r="A11" s="13" t="s">
        <v>15</v>
      </c>
      <c r="B11" s="14"/>
      <c r="C11" s="60">
        <f>'Income 2023-2024 - Table 1-1'!M109</f>
        <v>1350</v>
      </c>
      <c r="D11" s="517"/>
      <c r="E11" s="517"/>
      <c r="F11" s="14"/>
      <c r="G11" s="60">
        <v>0</v>
      </c>
      <c r="H11" s="14"/>
      <c r="I11" s="60">
        <f>'Income 2021-2022 - Table 1-1'!M72</f>
        <v>16000</v>
      </c>
      <c r="J11" s="504"/>
      <c r="K11" s="17">
        <v>1750</v>
      </c>
      <c r="L11" s="14"/>
      <c r="M11" s="15">
        <f>'Income TNRA 2019 to 2020'!L98</f>
        <v>6600</v>
      </c>
      <c r="N11" s="16"/>
      <c r="O11" s="19">
        <f>'Income - TNRA INCOME 2018 to 20'!L93</f>
        <v>2500</v>
      </c>
      <c r="P11" s="16"/>
      <c r="Q11" s="19">
        <v>8075</v>
      </c>
      <c r="R11" s="16"/>
      <c r="S11" s="19">
        <v>1000</v>
      </c>
      <c r="T11" s="19"/>
    </row>
    <row r="12" spans="1:20" ht="17" customHeight="1">
      <c r="A12" s="20"/>
      <c r="B12" s="14"/>
      <c r="C12" s="541">
        <f>SUM(C5:C11)</f>
        <v>4961.74</v>
      </c>
      <c r="D12" s="519"/>
      <c r="E12" s="519"/>
      <c r="F12" s="14"/>
      <c r="G12" s="541">
        <v>3775</v>
      </c>
      <c r="H12" s="14"/>
      <c r="I12" s="541">
        <f>SUM(I5:I11)</f>
        <v>19326.560000000001</v>
      </c>
      <c r="J12" s="504"/>
      <c r="K12" s="21">
        <f>SUM(K5:K11)</f>
        <v>5166.25</v>
      </c>
      <c r="L12" s="14"/>
      <c r="M12" s="22">
        <f>SUM(M5:M11)</f>
        <v>9902.7999999999993</v>
      </c>
      <c r="N12" s="16"/>
      <c r="O12" s="22">
        <f>SUM(O5:O11)</f>
        <v>6076.79</v>
      </c>
      <c r="P12" s="24"/>
      <c r="Q12" s="22">
        <f>SUM(Q5:Q11)</f>
        <v>11621</v>
      </c>
      <c r="R12" s="24"/>
      <c r="S12" s="22">
        <f>SUM(S5:S11)</f>
        <v>4586.3500000000004</v>
      </c>
      <c r="T12" s="23"/>
    </row>
    <row r="13" spans="1:20" ht="17" customHeight="1">
      <c r="A13" s="25" t="s">
        <v>16</v>
      </c>
      <c r="B13" s="14"/>
      <c r="C13" s="60"/>
      <c r="D13" s="520"/>
      <c r="E13" s="520"/>
      <c r="F13" s="14"/>
      <c r="G13" s="60"/>
      <c r="H13" s="14"/>
      <c r="I13" s="60"/>
      <c r="J13" s="504"/>
      <c r="K13" s="14"/>
      <c r="L13" s="14"/>
      <c r="M13" s="15"/>
      <c r="N13" s="16"/>
      <c r="O13" s="16"/>
      <c r="P13" s="16"/>
      <c r="Q13" s="16"/>
      <c r="R13" s="16"/>
      <c r="S13" s="16"/>
      <c r="T13" s="16"/>
    </row>
    <row r="14" spans="1:20" ht="17" customHeight="1">
      <c r="A14" s="13" t="s">
        <v>13</v>
      </c>
      <c r="B14" s="16">
        <v>0</v>
      </c>
      <c r="C14" s="60"/>
      <c r="D14" s="520"/>
      <c r="E14" s="520"/>
      <c r="F14" s="60">
        <v>647</v>
      </c>
      <c r="G14" s="60"/>
      <c r="H14" s="14">
        <f>'Income 2021-2022 - Table 1-1'!N72</f>
        <v>460</v>
      </c>
      <c r="I14" s="60"/>
      <c r="J14" s="505">
        <v>0</v>
      </c>
      <c r="K14" s="14"/>
      <c r="L14" s="14">
        <v>525</v>
      </c>
      <c r="M14" s="15"/>
      <c r="N14" s="16">
        <f>'Income - TNRA INCOME 2018 to 20'!M93</f>
        <v>696</v>
      </c>
      <c r="O14" s="16"/>
      <c r="P14" s="16">
        <v>319</v>
      </c>
      <c r="Q14" s="16"/>
      <c r="R14" s="16">
        <v>878</v>
      </c>
      <c r="S14" s="16"/>
      <c r="T14" s="16"/>
    </row>
    <row r="15" spans="1:20" ht="17" customHeight="1">
      <c r="A15" s="13" t="s">
        <v>14</v>
      </c>
      <c r="B15" s="16">
        <f>'Income 2023-2024 - Table 1-1'!P109</f>
        <v>1056</v>
      </c>
      <c r="C15" s="60"/>
      <c r="D15" s="520"/>
      <c r="E15" s="520"/>
      <c r="F15" s="60">
        <v>1228</v>
      </c>
      <c r="G15" s="60"/>
      <c r="H15" s="14">
        <f>'Income 2021-2022 - Table 1-1'!O72</f>
        <v>1910.78</v>
      </c>
      <c r="I15" s="60"/>
      <c r="J15" s="504">
        <v>1240</v>
      </c>
      <c r="K15" s="14"/>
      <c r="L15" s="14">
        <v>1254</v>
      </c>
      <c r="M15" s="15"/>
      <c r="N15" s="16">
        <f>'Income - TNRA INCOME 2018 to 20'!N93</f>
        <v>1728.9499999999998</v>
      </c>
      <c r="O15" s="16"/>
      <c r="P15" s="16">
        <v>1366</v>
      </c>
      <c r="Q15" s="16"/>
      <c r="R15" s="16">
        <v>1015.1</v>
      </c>
      <c r="S15" s="16"/>
      <c r="T15" s="16"/>
    </row>
    <row r="16" spans="1:20" ht="17" customHeight="1">
      <c r="A16" s="13" t="s">
        <v>17</v>
      </c>
      <c r="B16" s="16">
        <f>'Income 2023-2024 - Table 1-1'!Q109</f>
        <v>274</v>
      </c>
      <c r="C16" s="60"/>
      <c r="D16" s="520"/>
      <c r="E16" s="520"/>
      <c r="F16" s="60">
        <v>313</v>
      </c>
      <c r="G16" s="60"/>
      <c r="H16" s="16">
        <v>0</v>
      </c>
      <c r="I16" s="60"/>
      <c r="J16" s="504">
        <f>'Income 2020 to 2021 - Table 1-1'!O59</f>
        <v>0</v>
      </c>
      <c r="K16" s="14"/>
      <c r="L16" s="14">
        <f>'Income TNRA 2019 to 2020'!O98</f>
        <v>861.6</v>
      </c>
      <c r="M16" s="15"/>
      <c r="N16" s="16">
        <f>'Income - TNRA INCOME 2018 to 20'!O93</f>
        <v>591.35</v>
      </c>
      <c r="O16" s="16"/>
      <c r="P16" s="16">
        <v>501</v>
      </c>
      <c r="Q16" s="16"/>
      <c r="R16" s="16">
        <v>648</v>
      </c>
      <c r="S16" s="16"/>
      <c r="T16" s="16"/>
    </row>
    <row r="17" spans="1:20" ht="17" customHeight="1">
      <c r="A17" s="13" t="s">
        <v>505</v>
      </c>
      <c r="B17" s="16">
        <v>0</v>
      </c>
      <c r="C17" s="60"/>
      <c r="D17" s="521"/>
      <c r="E17" s="521"/>
      <c r="F17" s="60">
        <v>129</v>
      </c>
      <c r="G17" s="60"/>
      <c r="H17" s="16">
        <v>0</v>
      </c>
      <c r="I17" s="60"/>
      <c r="J17" s="506">
        <v>0</v>
      </c>
      <c r="K17" s="26"/>
      <c r="L17" s="26" t="s">
        <v>18</v>
      </c>
      <c r="M17" s="15"/>
      <c r="N17" s="16">
        <v>0</v>
      </c>
      <c r="O17" s="16"/>
      <c r="P17" s="16">
        <v>0</v>
      </c>
      <c r="Q17" s="16"/>
      <c r="R17" s="16">
        <v>500</v>
      </c>
      <c r="S17" s="16"/>
      <c r="T17" s="16"/>
    </row>
    <row r="18" spans="1:20" ht="17" customHeight="1">
      <c r="A18" s="13" t="s">
        <v>19</v>
      </c>
      <c r="B18" s="16">
        <v>0</v>
      </c>
      <c r="C18" s="60"/>
      <c r="D18" s="521"/>
      <c r="E18" s="521"/>
      <c r="F18" s="16">
        <v>0</v>
      </c>
      <c r="G18" s="60"/>
      <c r="H18" s="16">
        <v>0</v>
      </c>
      <c r="I18" s="60"/>
      <c r="J18" s="506">
        <v>0</v>
      </c>
      <c r="K18" s="26"/>
      <c r="L18" s="26" t="s">
        <v>18</v>
      </c>
      <c r="M18" s="15"/>
      <c r="N18" s="16">
        <v>0</v>
      </c>
      <c r="O18" s="16"/>
      <c r="P18" s="16">
        <v>150</v>
      </c>
      <c r="Q18" s="16"/>
      <c r="R18" s="16">
        <v>150</v>
      </c>
      <c r="S18" s="16"/>
      <c r="T18" s="16"/>
    </row>
    <row r="19" spans="1:20" ht="17" customHeight="1">
      <c r="A19" s="13" t="s">
        <v>20</v>
      </c>
      <c r="B19" s="16">
        <v>0</v>
      </c>
      <c r="C19" s="60"/>
      <c r="D19" s="521"/>
      <c r="E19" s="521"/>
      <c r="F19" s="16">
        <v>0</v>
      </c>
      <c r="G19" s="60"/>
      <c r="H19" s="16">
        <v>0</v>
      </c>
      <c r="I19" s="60"/>
      <c r="J19" s="506">
        <v>0</v>
      </c>
      <c r="K19" s="26"/>
      <c r="L19" s="26" t="s">
        <v>18</v>
      </c>
      <c r="M19" s="15"/>
      <c r="N19" s="16">
        <v>0</v>
      </c>
      <c r="O19" s="16"/>
      <c r="P19" s="27"/>
      <c r="Q19" s="16"/>
      <c r="R19" s="16"/>
      <c r="S19" s="16"/>
      <c r="T19" s="16"/>
    </row>
    <row r="20" spans="1:20" ht="17" customHeight="1">
      <c r="A20" s="13" t="s">
        <v>21</v>
      </c>
      <c r="B20" s="16">
        <f>'Income 2023-2024 - Table 1-1'!S109</f>
        <v>1397.9600000000003</v>
      </c>
      <c r="C20" s="60"/>
      <c r="D20" s="520"/>
      <c r="E20" s="520"/>
      <c r="F20" s="60">
        <v>1426</v>
      </c>
      <c r="G20" s="60"/>
      <c r="H20" s="16">
        <f>'Income 2021-2022 - Table 1-1'!R72</f>
        <v>1464.24</v>
      </c>
      <c r="I20" s="60"/>
      <c r="J20" s="504">
        <v>0</v>
      </c>
      <c r="K20" s="14"/>
      <c r="L20" s="14">
        <f>'Income TNRA 2019 to 2020'!Q98</f>
        <v>2881</v>
      </c>
      <c r="M20" s="15"/>
      <c r="N20" s="16">
        <f>'Income - TNRA INCOME 2018 to 20'!Q93</f>
        <v>2437</v>
      </c>
      <c r="O20" s="16"/>
      <c r="P20" s="16">
        <v>2603</v>
      </c>
      <c r="Q20" s="16"/>
      <c r="R20" s="16">
        <v>2378</v>
      </c>
      <c r="S20" s="16"/>
      <c r="T20" s="16"/>
    </row>
    <row r="21" spans="1:20" ht="17" customHeight="1">
      <c r="A21" s="553" t="s">
        <v>76</v>
      </c>
      <c r="B21" s="16">
        <v>0</v>
      </c>
      <c r="C21" s="554"/>
      <c r="D21" s="520"/>
      <c r="E21" s="520"/>
      <c r="F21" s="60">
        <v>650</v>
      </c>
      <c r="G21" s="554"/>
      <c r="H21" s="16"/>
      <c r="I21" s="554"/>
      <c r="J21" s="555"/>
      <c r="K21" s="555"/>
      <c r="L21" s="555"/>
      <c r="M21" s="556"/>
      <c r="N21" s="557"/>
      <c r="O21" s="16"/>
      <c r="P21" s="557"/>
      <c r="Q21" s="16"/>
      <c r="R21" s="557"/>
      <c r="S21" s="16"/>
      <c r="T21" s="16"/>
    </row>
    <row r="22" spans="1:20" ht="17" customHeight="1">
      <c r="A22" s="28" t="s">
        <v>22</v>
      </c>
      <c r="B22" s="16">
        <f>'Income 2023-2024 - Table 1-1'!T109</f>
        <v>46</v>
      </c>
      <c r="C22" s="543">
        <f>SUM(B14:B22)</f>
        <v>2773.96</v>
      </c>
      <c r="D22" s="522"/>
      <c r="E22" s="522"/>
      <c r="F22" s="60">
        <v>38</v>
      </c>
      <c r="G22" s="543">
        <f>SUM(F14:F22)</f>
        <v>4431</v>
      </c>
      <c r="H22" s="16">
        <v>0</v>
      </c>
      <c r="I22" s="543">
        <f>SUM(H14:H22)</f>
        <v>3835.0199999999995</v>
      </c>
      <c r="J22" s="507">
        <f>'Income 2020 to 2021 - Table 1-1'!R59</f>
        <v>0</v>
      </c>
      <c r="K22" s="18">
        <f>SUM(J14:J22)</f>
        <v>1240</v>
      </c>
      <c r="L22" s="18">
        <f>'Income TNRA 2019 to 2020'!R98</f>
        <v>46</v>
      </c>
      <c r="M22" s="29">
        <f>SUM(L14:L22)</f>
        <v>5567.6</v>
      </c>
      <c r="N22" s="19">
        <f>'Income - TNRA INCOME 2018 to 20'!R93</f>
        <v>47</v>
      </c>
      <c r="O22" s="16">
        <f>SUM(N14:N22)</f>
        <v>5500.2999999999993</v>
      </c>
      <c r="P22" s="19">
        <f>'Income - TNRA INCOME 2018 to 20'!R45</f>
        <v>0</v>
      </c>
      <c r="Q22" s="16">
        <f>SUM(P14:P22)</f>
        <v>4939</v>
      </c>
      <c r="R22" s="19">
        <v>0</v>
      </c>
      <c r="S22" s="16">
        <f>SUM(R14:R22)</f>
        <v>5569.1</v>
      </c>
      <c r="T22" s="16"/>
    </row>
    <row r="23" spans="1:20" ht="17" customHeight="1">
      <c r="A23" s="20"/>
      <c r="B23" s="21"/>
      <c r="C23" s="542"/>
      <c r="D23" s="520"/>
      <c r="E23" s="520"/>
      <c r="F23" s="21"/>
      <c r="G23" s="542"/>
      <c r="H23" s="21"/>
      <c r="I23" s="542"/>
      <c r="J23" s="508"/>
      <c r="K23" s="21"/>
      <c r="L23" s="21"/>
      <c r="M23" s="15"/>
      <c r="N23" s="30"/>
      <c r="O23" s="16"/>
      <c r="P23" s="30"/>
      <c r="Q23" s="16"/>
      <c r="R23" s="30"/>
      <c r="S23" s="16"/>
      <c r="T23" s="16"/>
    </row>
    <row r="24" spans="1:20" ht="17" customHeight="1">
      <c r="A24" s="25" t="s">
        <v>23</v>
      </c>
      <c r="B24" s="14"/>
      <c r="C24" s="60"/>
      <c r="D24" s="520"/>
      <c r="E24" s="520"/>
      <c r="F24" s="14"/>
      <c r="G24" s="60"/>
      <c r="H24" s="14"/>
      <c r="I24" s="60"/>
      <c r="J24" s="504"/>
      <c r="K24" s="14"/>
      <c r="L24" s="14"/>
      <c r="M24" s="15"/>
      <c r="N24" s="16"/>
      <c r="O24" s="16"/>
      <c r="P24" s="16"/>
      <c r="Q24" s="16"/>
      <c r="R24" s="16"/>
      <c r="S24" s="16"/>
      <c r="T24" s="16"/>
    </row>
    <row r="25" spans="1:20" ht="17" customHeight="1">
      <c r="A25" s="13" t="s">
        <v>24</v>
      </c>
      <c r="B25" s="26"/>
      <c r="C25" s="60" t="s">
        <v>18</v>
      </c>
      <c r="D25" s="523"/>
      <c r="E25" s="523"/>
      <c r="F25" s="26"/>
      <c r="G25" s="60" t="s">
        <v>18</v>
      </c>
      <c r="H25" s="26"/>
      <c r="I25" s="60" t="s">
        <v>18</v>
      </c>
      <c r="J25" s="509" t="s">
        <v>25</v>
      </c>
      <c r="K25" s="26"/>
      <c r="L25" s="26" t="s">
        <v>18</v>
      </c>
      <c r="M25" s="15"/>
      <c r="N25" s="16">
        <f>'Income - TNRA INCOME 2018 to 20'!S93</f>
        <v>0</v>
      </c>
      <c r="O25" s="16"/>
      <c r="P25" s="16">
        <v>718</v>
      </c>
      <c r="Q25" s="16"/>
      <c r="R25" s="16">
        <v>891.65</v>
      </c>
      <c r="S25" s="16"/>
      <c r="T25" s="16"/>
    </row>
    <row r="26" spans="1:20" ht="17" customHeight="1">
      <c r="A26" s="13" t="s">
        <v>26</v>
      </c>
      <c r="B26" s="17"/>
      <c r="C26" s="510">
        <f>'Income 2023-2024 - Table 1-1'!G109</f>
        <v>513.07000000000005</v>
      </c>
      <c r="D26" s="520"/>
      <c r="E26" s="520"/>
      <c r="F26" s="17"/>
      <c r="G26" s="510">
        <v>91</v>
      </c>
      <c r="H26" s="17"/>
      <c r="I26" s="510">
        <f>'Income 2021-2022 - Table 1-1'!G72</f>
        <v>1.8199999999999998</v>
      </c>
      <c r="J26" s="510">
        <f>'Income 2020 to 2021 - Table 1-1'!F59</f>
        <v>6.5</v>
      </c>
      <c r="K26" s="17">
        <f>SUM(J25:J26)</f>
        <v>6.5</v>
      </c>
      <c r="L26" s="17">
        <f>'Income TNRA 2019 to 2020'!F98</f>
        <v>37.11</v>
      </c>
      <c r="M26" s="15">
        <f>SUM(L25:L26)</f>
        <v>37.11</v>
      </c>
      <c r="N26" s="19">
        <f>'Income - TNRA INCOME 2018 to 20'!F93</f>
        <v>19</v>
      </c>
      <c r="O26" s="16">
        <f>SUM(N25:N26)</f>
        <v>19</v>
      </c>
      <c r="P26" s="19">
        <v>3</v>
      </c>
      <c r="Q26" s="16">
        <f>SUM(P25:P26)</f>
        <v>721</v>
      </c>
      <c r="R26" s="19">
        <v>5.26</v>
      </c>
      <c r="S26" s="16">
        <f>R25+R26</f>
        <v>896.91</v>
      </c>
      <c r="T26" s="16"/>
    </row>
    <row r="27" spans="1:20" ht="17" customHeight="1">
      <c r="A27" s="20"/>
      <c r="B27" s="21"/>
      <c r="C27" s="60"/>
      <c r="D27" s="520"/>
      <c r="E27" s="520"/>
      <c r="F27" s="21"/>
      <c r="G27" s="60"/>
      <c r="H27" s="21"/>
      <c r="I27" s="60"/>
      <c r="J27" s="508"/>
      <c r="K27" s="21"/>
      <c r="L27" s="21"/>
      <c r="M27" s="31"/>
      <c r="N27" s="30"/>
      <c r="O27" s="19"/>
      <c r="P27" s="30"/>
      <c r="Q27" s="19"/>
      <c r="R27" s="30"/>
      <c r="S27" s="19"/>
      <c r="T27" s="19"/>
    </row>
    <row r="28" spans="1:20" ht="17" customHeight="1">
      <c r="A28" s="25" t="s">
        <v>27</v>
      </c>
      <c r="B28" s="32"/>
      <c r="C28" s="531">
        <f>C12+C22+C26</f>
        <v>8248.77</v>
      </c>
      <c r="D28" s="524"/>
      <c r="E28" s="524"/>
      <c r="F28" s="32"/>
      <c r="G28" s="531">
        <f>G12+G22+G26</f>
        <v>8297</v>
      </c>
      <c r="H28" s="32"/>
      <c r="I28" s="32">
        <f>I12+I22+I26</f>
        <v>23163.4</v>
      </c>
      <c r="J28" s="511"/>
      <c r="K28" s="32">
        <f>K12+K22+K26</f>
        <v>6412.75</v>
      </c>
      <c r="L28" s="32"/>
      <c r="M28" s="33">
        <f>SUM(M12:M27)</f>
        <v>15507.51</v>
      </c>
      <c r="N28" s="16"/>
      <c r="O28" s="23">
        <f>O12+O22+O26</f>
        <v>11596.09</v>
      </c>
      <c r="P28" s="16"/>
      <c r="Q28" s="23">
        <f>Q26+Q22+Q12</f>
        <v>17281</v>
      </c>
      <c r="R28" s="24"/>
      <c r="S28" s="23">
        <f>SUM(S12:S27)</f>
        <v>11052.36</v>
      </c>
      <c r="T28" s="23"/>
    </row>
    <row r="29" spans="1:20" ht="17" customHeight="1">
      <c r="A29" s="20"/>
      <c r="B29" s="14"/>
      <c r="C29" s="60"/>
      <c r="D29" s="520"/>
      <c r="E29" s="520"/>
      <c r="F29" s="14"/>
      <c r="G29" s="60"/>
      <c r="H29" s="14"/>
      <c r="I29" s="60"/>
      <c r="J29" s="504"/>
      <c r="K29" s="14"/>
      <c r="L29" s="14"/>
      <c r="M29" s="15"/>
      <c r="N29" s="24"/>
      <c r="O29" s="24"/>
      <c r="P29" s="24"/>
      <c r="Q29" s="24"/>
      <c r="R29" s="16"/>
      <c r="S29" s="16"/>
      <c r="T29" s="16"/>
    </row>
    <row r="30" spans="1:20" ht="17" customHeight="1">
      <c r="A30" s="25" t="s">
        <v>28</v>
      </c>
      <c r="B30" s="14"/>
      <c r="C30" s="60"/>
      <c r="D30" s="520"/>
      <c r="E30" s="520"/>
      <c r="F30" s="14"/>
      <c r="G30" s="60"/>
      <c r="H30" s="14"/>
      <c r="I30" s="60"/>
      <c r="J30" s="504"/>
      <c r="K30" s="14"/>
      <c r="L30" s="14"/>
      <c r="M30" s="15"/>
      <c r="N30" s="24"/>
      <c r="O30" s="24"/>
      <c r="P30" s="24"/>
      <c r="Q30" s="24"/>
      <c r="R30" s="16"/>
      <c r="S30" s="16"/>
      <c r="T30" s="16"/>
    </row>
    <row r="31" spans="1:20" ht="17" customHeight="1">
      <c r="A31" s="13" t="s">
        <v>29</v>
      </c>
      <c r="B31" s="501">
        <f>'Expenses 2023-2024'!E70</f>
        <v>0</v>
      </c>
      <c r="C31" s="60"/>
      <c r="D31" s="520"/>
      <c r="E31" s="520"/>
      <c r="F31" s="501">
        <v>39</v>
      </c>
      <c r="G31" s="60"/>
      <c r="H31" s="501">
        <v>0</v>
      </c>
      <c r="I31" s="60"/>
      <c r="J31" s="504">
        <f>'Expenses 2020 to 2021'!G54</f>
        <v>1087.21</v>
      </c>
      <c r="K31" s="14"/>
      <c r="L31" s="14">
        <f>'Expenses 2019 to 2020'!G75</f>
        <v>366.23</v>
      </c>
      <c r="M31" s="15"/>
      <c r="N31" s="16">
        <f>'Expenses - TNRA EXPENSES 2018 -'!G87</f>
        <v>114.67999999999999</v>
      </c>
      <c r="O31" s="16"/>
      <c r="P31" s="16">
        <v>282</v>
      </c>
      <c r="Q31" s="16"/>
      <c r="R31" s="16">
        <v>173.9</v>
      </c>
      <c r="S31" s="16"/>
      <c r="T31" s="16"/>
    </row>
    <row r="32" spans="1:20" ht="17" customHeight="1">
      <c r="A32" s="13" t="s">
        <v>30</v>
      </c>
      <c r="B32" s="501">
        <v>0</v>
      </c>
      <c r="C32" s="60"/>
      <c r="D32" s="520"/>
      <c r="E32" s="520"/>
      <c r="F32" s="501">
        <v>0</v>
      </c>
      <c r="G32" s="60"/>
      <c r="H32" s="501">
        <v>0</v>
      </c>
      <c r="I32" s="60"/>
      <c r="J32" s="504">
        <f>'Expenses 2020 to 2021'!H54</f>
        <v>10</v>
      </c>
      <c r="K32" s="14"/>
      <c r="L32" s="14">
        <f>'Expenses 2019 to 2020'!H75</f>
        <v>0</v>
      </c>
      <c r="M32" s="15"/>
      <c r="N32" s="16">
        <f>'Expenses - TNRA EXPENSES 2018 -'!H87</f>
        <v>0.98</v>
      </c>
      <c r="O32" s="16"/>
      <c r="P32" s="16">
        <f>'Expenses - TNRA EXPENSES 2018 -'!H49</f>
        <v>0</v>
      </c>
      <c r="Q32" s="16"/>
      <c r="R32" s="16">
        <v>231.98</v>
      </c>
      <c r="S32" s="16"/>
      <c r="T32" s="16"/>
    </row>
    <row r="33" spans="1:20" ht="17" customHeight="1">
      <c r="A33" s="13" t="s">
        <v>13</v>
      </c>
      <c r="B33" s="501">
        <v>0</v>
      </c>
      <c r="C33" s="60"/>
      <c r="D33" s="520"/>
      <c r="E33" s="520"/>
      <c r="F33" s="501">
        <v>0</v>
      </c>
      <c r="G33" s="60"/>
      <c r="H33" s="501">
        <v>0</v>
      </c>
      <c r="I33" s="60"/>
      <c r="J33" s="504">
        <f>'Expenses 2020 to 2021'!J49</f>
        <v>0</v>
      </c>
      <c r="K33" s="14"/>
      <c r="L33" s="14">
        <f>'Expenses 2019 to 2020'!J70</f>
        <v>0</v>
      </c>
      <c r="M33" s="15"/>
      <c r="N33" s="16">
        <f>'Expenses - TNRA EXPENSES 2018 -'!J82</f>
        <v>0</v>
      </c>
      <c r="O33" s="16"/>
      <c r="P33" s="16">
        <v>104</v>
      </c>
      <c r="Q33" s="16"/>
      <c r="R33" s="16">
        <v>118</v>
      </c>
      <c r="S33" s="16"/>
      <c r="T33" s="16"/>
    </row>
    <row r="34" spans="1:20" ht="17" customHeight="1">
      <c r="A34" s="13" t="s">
        <v>14</v>
      </c>
      <c r="B34" s="501">
        <v>0</v>
      </c>
      <c r="C34" s="60"/>
      <c r="D34" s="520"/>
      <c r="E34" s="520"/>
      <c r="F34" s="559">
        <v>0</v>
      </c>
      <c r="G34" s="60"/>
      <c r="H34" s="501">
        <v>0</v>
      </c>
      <c r="I34" s="60"/>
      <c r="J34" s="504">
        <v>0</v>
      </c>
      <c r="K34" s="14"/>
      <c r="L34" s="34" t="s">
        <v>18</v>
      </c>
      <c r="M34" s="15"/>
      <c r="N34" s="16">
        <v>0</v>
      </c>
      <c r="O34" s="16"/>
      <c r="P34" s="16">
        <v>0</v>
      </c>
      <c r="Q34" s="16"/>
      <c r="R34" s="16">
        <v>0</v>
      </c>
      <c r="S34" s="16"/>
      <c r="T34" s="16"/>
    </row>
    <row r="35" spans="1:20" ht="17" customHeight="1">
      <c r="A35" s="13" t="s">
        <v>31</v>
      </c>
      <c r="B35" s="510">
        <f>'Expenses 2023-2024'!I70</f>
        <v>200</v>
      </c>
      <c r="C35" s="510">
        <f>SUM(B31:B35)</f>
        <v>200</v>
      </c>
      <c r="D35" s="520"/>
      <c r="E35" s="520"/>
      <c r="F35" s="561">
        <v>466</v>
      </c>
      <c r="G35" s="510">
        <f>SUM(F31:F35)</f>
        <v>505</v>
      </c>
      <c r="H35" s="510">
        <v>250</v>
      </c>
      <c r="I35" s="510">
        <f>SUM(H31:H35)</f>
        <v>250</v>
      </c>
      <c r="J35" s="510">
        <f>'Expenses 2020 to 2021'!I54</f>
        <v>454.06</v>
      </c>
      <c r="K35" s="17">
        <f>SUM(J31:J35)</f>
        <v>1551.27</v>
      </c>
      <c r="L35" s="17">
        <f>'Expenses 2019 to 2020'!I75</f>
        <v>382.64</v>
      </c>
      <c r="M35" s="15">
        <f>SUM(L31:L35)</f>
        <v>748.87</v>
      </c>
      <c r="N35" s="19">
        <f>'Expenses - TNRA EXPENSES 2018 -'!I87</f>
        <v>565.16</v>
      </c>
      <c r="O35" s="16">
        <f>SUM(N31:N35)</f>
        <v>680.81999999999994</v>
      </c>
      <c r="P35" s="19">
        <v>694</v>
      </c>
      <c r="Q35" s="16">
        <f>SUM(P31:P35)</f>
        <v>1080</v>
      </c>
      <c r="R35" s="19">
        <v>1041.19</v>
      </c>
      <c r="S35" s="16">
        <f>SUM(R31:R35)</f>
        <v>1565.0700000000002</v>
      </c>
      <c r="T35" s="16"/>
    </row>
    <row r="36" spans="1:20" ht="17" customHeight="1">
      <c r="A36" s="20"/>
      <c r="B36" s="21"/>
      <c r="C36" s="60"/>
      <c r="D36" s="520"/>
      <c r="E36" s="520"/>
      <c r="F36" s="560"/>
      <c r="G36" s="60"/>
      <c r="H36" s="21"/>
      <c r="I36" s="60"/>
      <c r="J36" s="508"/>
      <c r="K36" s="21"/>
      <c r="L36" s="21"/>
      <c r="M36" s="15"/>
      <c r="N36" s="30"/>
      <c r="O36" s="16"/>
      <c r="P36" s="30"/>
      <c r="Q36" s="16"/>
      <c r="R36" s="30"/>
      <c r="S36" s="16"/>
      <c r="T36" s="16"/>
    </row>
    <row r="37" spans="1:20" ht="17" customHeight="1">
      <c r="A37" s="25" t="s">
        <v>32</v>
      </c>
      <c r="B37" s="14"/>
      <c r="C37" s="60"/>
      <c r="D37" s="520"/>
      <c r="E37" s="520"/>
      <c r="F37" s="14"/>
      <c r="G37" s="60"/>
      <c r="H37" s="14"/>
      <c r="I37" s="60"/>
      <c r="J37" s="504"/>
      <c r="K37" s="14"/>
      <c r="L37" s="14"/>
      <c r="M37" s="15"/>
      <c r="N37" s="16"/>
      <c r="O37" s="16"/>
      <c r="P37" s="16"/>
      <c r="Q37" s="16"/>
      <c r="R37" s="16"/>
      <c r="S37" s="16"/>
      <c r="T37" s="16"/>
    </row>
    <row r="38" spans="1:20" ht="17" customHeight="1">
      <c r="A38" s="13" t="s">
        <v>13</v>
      </c>
      <c r="B38" s="14">
        <v>0</v>
      </c>
      <c r="C38" s="60"/>
      <c r="D38" s="523"/>
      <c r="E38" s="523"/>
      <c r="F38" s="14">
        <v>0</v>
      </c>
      <c r="G38" s="60"/>
      <c r="H38" s="14">
        <v>0</v>
      </c>
      <c r="I38" s="60"/>
      <c r="J38" s="504">
        <v>0</v>
      </c>
      <c r="K38" s="14"/>
      <c r="L38" s="14">
        <v>106</v>
      </c>
      <c r="M38" s="15"/>
      <c r="N38" s="35">
        <v>67</v>
      </c>
      <c r="O38" s="35"/>
      <c r="P38" s="35"/>
      <c r="Q38" s="35"/>
      <c r="R38" s="35"/>
      <c r="S38" s="16"/>
      <c r="T38" s="16"/>
    </row>
    <row r="39" spans="1:20" ht="17" customHeight="1">
      <c r="A39" s="13" t="s">
        <v>14</v>
      </c>
      <c r="B39" s="14">
        <v>0</v>
      </c>
      <c r="C39" s="60"/>
      <c r="D39" s="523"/>
      <c r="E39" s="523"/>
      <c r="F39" s="14">
        <v>0</v>
      </c>
      <c r="G39" s="60"/>
      <c r="H39" s="14">
        <v>0</v>
      </c>
      <c r="I39" s="60"/>
      <c r="J39" s="504">
        <v>0</v>
      </c>
      <c r="K39" s="14"/>
      <c r="L39" s="14">
        <v>0</v>
      </c>
      <c r="M39" s="15"/>
      <c r="N39" s="35">
        <v>0</v>
      </c>
      <c r="O39" s="35"/>
      <c r="P39" s="35"/>
      <c r="Q39" s="35"/>
      <c r="R39" s="35"/>
      <c r="S39" s="16"/>
      <c r="T39" s="16"/>
    </row>
    <row r="40" spans="1:20" ht="17" customHeight="1">
      <c r="A40" s="13" t="s">
        <v>33</v>
      </c>
      <c r="B40" s="14">
        <f>'Expenses 2023-2024'!L70</f>
        <v>306</v>
      </c>
      <c r="C40" s="60"/>
      <c r="D40" s="520"/>
      <c r="E40" s="520"/>
      <c r="F40" s="14">
        <v>180</v>
      </c>
      <c r="G40" s="60"/>
      <c r="H40" s="14">
        <v>147.5</v>
      </c>
      <c r="I40" s="60"/>
      <c r="J40" s="504">
        <f>'Expenses 2020 to 2021'!L54</f>
        <v>66.900000000000006</v>
      </c>
      <c r="K40" s="14"/>
      <c r="L40" s="14">
        <f>'Expenses 2019 to 2020'!L75</f>
        <v>236.82</v>
      </c>
      <c r="M40" s="15"/>
      <c r="N40" s="35">
        <f>'Expenses - TNRA EXPENSES 2018 -'!K87</f>
        <v>28.97</v>
      </c>
      <c r="O40" s="35"/>
      <c r="P40" s="35">
        <v>0</v>
      </c>
      <c r="Q40" s="35"/>
      <c r="R40" s="35">
        <v>0</v>
      </c>
      <c r="S40" s="16"/>
      <c r="T40" s="16"/>
    </row>
    <row r="41" spans="1:20" ht="17" customHeight="1">
      <c r="A41" s="13" t="s">
        <v>501</v>
      </c>
      <c r="B41" s="14">
        <v>0</v>
      </c>
      <c r="C41" s="60"/>
      <c r="D41" s="520"/>
      <c r="E41" s="520"/>
      <c r="F41" s="14">
        <v>200</v>
      </c>
      <c r="G41" s="60"/>
      <c r="H41" s="14">
        <v>160</v>
      </c>
      <c r="I41" s="60"/>
      <c r="J41" s="504">
        <f>'Expenses 2020 to 2021'!M54</f>
        <v>0</v>
      </c>
      <c r="K41" s="14"/>
      <c r="L41" s="14">
        <f>'Expenses 2019 to 2020'!M75</f>
        <v>269.8</v>
      </c>
      <c r="M41" s="15"/>
      <c r="N41" s="16">
        <f>'Expenses - TNRA EXPENSES 2018 -'!L87</f>
        <v>358</v>
      </c>
      <c r="O41" s="16"/>
      <c r="P41" s="16">
        <v>250</v>
      </c>
      <c r="Q41" s="16"/>
      <c r="R41" s="16">
        <v>335.5</v>
      </c>
      <c r="S41" s="16"/>
      <c r="T41" s="16"/>
    </row>
    <row r="42" spans="1:20" ht="17" customHeight="1">
      <c r="A42" s="13" t="s">
        <v>17</v>
      </c>
      <c r="B42" s="14">
        <f>'Expenses 2023-2024'!Q70</f>
        <v>1235.43</v>
      </c>
      <c r="C42" s="60"/>
      <c r="D42" s="523"/>
      <c r="E42" s="523"/>
      <c r="F42" s="14">
        <v>1471</v>
      </c>
      <c r="G42" s="60"/>
      <c r="H42" s="14">
        <v>0</v>
      </c>
      <c r="I42" s="60"/>
      <c r="J42" s="504">
        <f>'Expenses 2020 to 2021'!N54</f>
        <v>0</v>
      </c>
      <c r="K42" s="14"/>
      <c r="L42" s="14">
        <f>'Expenses 2019 to 2020'!N75</f>
        <v>1230.23</v>
      </c>
      <c r="M42" s="15"/>
      <c r="N42" s="16">
        <f>'Expenses - TNRA EXPENSES 2018 -'!M87</f>
        <v>1303</v>
      </c>
      <c r="O42" s="16"/>
      <c r="P42" s="16">
        <v>1141</v>
      </c>
      <c r="Q42" s="16"/>
      <c r="R42" s="16">
        <v>1216.3800000000001</v>
      </c>
      <c r="S42" s="16"/>
      <c r="T42" s="16"/>
    </row>
    <row r="43" spans="1:20" ht="17" customHeight="1">
      <c r="A43" s="13" t="s">
        <v>34</v>
      </c>
      <c r="B43" s="14">
        <v>0</v>
      </c>
      <c r="C43" s="60"/>
      <c r="D43" s="523"/>
      <c r="E43" s="523"/>
      <c r="F43" s="14">
        <v>0</v>
      </c>
      <c r="G43" s="60"/>
      <c r="H43" s="14">
        <v>0</v>
      </c>
      <c r="I43" s="60"/>
      <c r="J43" s="504">
        <f>'Expenses 2020 to 2021'!K54</f>
        <v>0</v>
      </c>
      <c r="K43" s="14"/>
      <c r="L43" s="14">
        <f>'Expenses 2019 to 2020'!K75</f>
        <v>131.05000000000001</v>
      </c>
      <c r="M43" s="15"/>
      <c r="N43" s="16">
        <v>0</v>
      </c>
      <c r="O43" s="16"/>
      <c r="P43" s="16">
        <v>500</v>
      </c>
      <c r="Q43" s="16"/>
      <c r="R43" s="16">
        <v>0</v>
      </c>
      <c r="S43" s="16"/>
      <c r="T43" s="16"/>
    </row>
    <row r="44" spans="1:20" ht="17" customHeight="1">
      <c r="A44" s="13" t="s">
        <v>35</v>
      </c>
      <c r="B44" s="14">
        <f>'Expenses 2023-2024'!R70</f>
        <v>43</v>
      </c>
      <c r="C44" s="60"/>
      <c r="D44" s="523"/>
      <c r="E44" s="523"/>
      <c r="F44" s="14">
        <v>0</v>
      </c>
      <c r="G44" s="60"/>
      <c r="H44" s="14">
        <v>0</v>
      </c>
      <c r="I44" s="60"/>
      <c r="J44" s="504">
        <f>'Expenses 2020 to 2021'!O54</f>
        <v>0</v>
      </c>
      <c r="K44" s="14"/>
      <c r="L44" s="14">
        <f>'Expenses 2019 to 2020'!O75</f>
        <v>24.3</v>
      </c>
      <c r="M44" s="15"/>
      <c r="N44" s="16">
        <f>'Expenses - TNRA EXPENSES 2018 -'!N87</f>
        <v>24.3</v>
      </c>
      <c r="O44" s="16"/>
      <c r="P44" s="16">
        <v>24</v>
      </c>
      <c r="Q44" s="16"/>
      <c r="R44" s="16">
        <v>0</v>
      </c>
      <c r="S44" s="16"/>
      <c r="T44" s="16"/>
    </row>
    <row r="45" spans="1:20" ht="17" customHeight="1">
      <c r="A45" s="13" t="s">
        <v>637</v>
      </c>
      <c r="B45" s="14">
        <f>'Expenses 2023-2024'!O70</f>
        <v>332.03999999999996</v>
      </c>
      <c r="C45" s="60"/>
      <c r="D45" s="523"/>
      <c r="E45" s="523"/>
      <c r="F45" s="14">
        <v>0</v>
      </c>
      <c r="G45" s="60"/>
      <c r="H45" s="14">
        <v>0</v>
      </c>
      <c r="I45" s="60"/>
      <c r="J45" s="504">
        <f>'Expenses 2020 to 2021'!P54</f>
        <v>0</v>
      </c>
      <c r="K45" s="14"/>
      <c r="L45" s="14">
        <f>'Expenses 2019 to 2020'!P75</f>
        <v>221</v>
      </c>
      <c r="M45" s="15"/>
      <c r="N45" s="16">
        <f>'Expenses - TNRA EXPENSES 2018 -'!O87+'Expenses - TNRA EXPENSES 2018 -'!Q87</f>
        <v>1627.2399999999998</v>
      </c>
      <c r="O45" s="16"/>
      <c r="P45" s="16">
        <v>1390</v>
      </c>
      <c r="Q45" s="16"/>
      <c r="R45" s="16">
        <f>892.3+614</f>
        <v>1506.3</v>
      </c>
      <c r="S45" s="16"/>
      <c r="T45" s="16"/>
    </row>
    <row r="46" spans="1:20" ht="17" customHeight="1">
      <c r="A46" s="13" t="str">
        <f>A17</f>
        <v>Event Jubilee</v>
      </c>
      <c r="B46" s="14">
        <v>0</v>
      </c>
      <c r="C46" s="60"/>
      <c r="D46" s="523"/>
      <c r="E46" s="523"/>
      <c r="F46" s="14">
        <v>493</v>
      </c>
      <c r="G46" s="60"/>
      <c r="H46" s="26" t="s">
        <v>25</v>
      </c>
      <c r="I46" s="60"/>
      <c r="J46" s="509" t="s">
        <v>25</v>
      </c>
      <c r="K46" s="26"/>
      <c r="L46" s="26" t="s">
        <v>18</v>
      </c>
      <c r="M46" s="15"/>
      <c r="N46" s="16">
        <v>0</v>
      </c>
      <c r="O46" s="16"/>
      <c r="P46" s="16">
        <v>0</v>
      </c>
      <c r="Q46" s="16"/>
      <c r="R46" s="16">
        <v>3926.38</v>
      </c>
      <c r="S46" s="16"/>
      <c r="T46" s="16"/>
    </row>
    <row r="47" spans="1:20" ht="17" customHeight="1">
      <c r="A47" s="13" t="s">
        <v>36</v>
      </c>
      <c r="B47" s="14">
        <v>0</v>
      </c>
      <c r="C47" s="60"/>
      <c r="D47" s="520"/>
      <c r="E47" s="520"/>
      <c r="F47" s="14">
        <v>0</v>
      </c>
      <c r="G47" s="60"/>
      <c r="H47" s="14">
        <v>1900</v>
      </c>
      <c r="I47" s="60"/>
      <c r="J47" s="504">
        <f>'Expenses 2020 to 2021'!Q54</f>
        <v>31.5</v>
      </c>
      <c r="K47" s="14"/>
      <c r="L47" s="14"/>
      <c r="M47" s="15"/>
      <c r="N47" s="16"/>
      <c r="O47" s="16"/>
      <c r="P47" s="16"/>
      <c r="Q47" s="16"/>
      <c r="R47" s="36"/>
      <c r="S47" s="16"/>
      <c r="T47" s="16"/>
    </row>
    <row r="48" spans="1:20" ht="17" customHeight="1">
      <c r="A48" s="13" t="s">
        <v>508</v>
      </c>
      <c r="B48" s="14">
        <v>0</v>
      </c>
      <c r="C48" s="60"/>
      <c r="D48" s="523"/>
      <c r="E48" s="523"/>
      <c r="F48" s="14">
        <v>98</v>
      </c>
      <c r="G48" s="60"/>
      <c r="H48" s="14">
        <v>0</v>
      </c>
      <c r="I48" s="60"/>
      <c r="J48" s="504">
        <f>'Expenses 2020 to 2021'!R54</f>
        <v>0</v>
      </c>
      <c r="K48" s="14"/>
      <c r="L48" s="14">
        <f>'Expenses 2019 to 2020'!Q75</f>
        <v>277.88</v>
      </c>
      <c r="M48" s="15"/>
      <c r="N48" s="16">
        <f>'Expenses - TNRA EXPENSES 2018 -'!P87</f>
        <v>188.92000000000002</v>
      </c>
      <c r="O48" s="16"/>
      <c r="P48" s="16"/>
      <c r="Q48" s="16"/>
      <c r="R48" s="36"/>
      <c r="S48" s="16"/>
      <c r="T48" s="16"/>
    </row>
    <row r="49" spans="1:20" ht="17" customHeight="1">
      <c r="A49" s="13" t="s">
        <v>37</v>
      </c>
      <c r="B49" s="14">
        <f>'Expenses 2023-2024'!V70</f>
        <v>492.5</v>
      </c>
      <c r="C49" s="60"/>
      <c r="D49" s="520"/>
      <c r="E49" s="520"/>
      <c r="F49" s="14">
        <v>644</v>
      </c>
      <c r="G49" s="60"/>
      <c r="H49" s="14">
        <v>401.7</v>
      </c>
      <c r="I49" s="60"/>
      <c r="J49" s="504">
        <f>'Expenses 2020 to 2021'!S54</f>
        <v>0</v>
      </c>
      <c r="K49" s="14"/>
      <c r="L49" s="14">
        <f>'Expenses 2019 to 2020'!R75</f>
        <v>639.40000000000009</v>
      </c>
      <c r="M49" s="15"/>
      <c r="N49" s="37" t="s">
        <v>18</v>
      </c>
      <c r="O49" s="35"/>
      <c r="P49" s="37" t="s">
        <v>18</v>
      </c>
      <c r="Q49" s="35"/>
      <c r="R49" s="37" t="s">
        <v>18</v>
      </c>
      <c r="S49" s="16"/>
      <c r="T49" s="16"/>
    </row>
    <row r="50" spans="1:20" ht="17" customHeight="1">
      <c r="A50" s="13" t="s">
        <v>21</v>
      </c>
      <c r="B50" s="14">
        <f>'Expenses 2023-2024'!X70</f>
        <v>1465.91</v>
      </c>
      <c r="C50" s="60"/>
      <c r="D50" s="523"/>
      <c r="E50" s="523"/>
      <c r="F50" s="14">
        <v>2024</v>
      </c>
      <c r="G50" s="60"/>
      <c r="H50" s="14">
        <v>1440</v>
      </c>
      <c r="I50" s="60"/>
      <c r="J50" s="504">
        <f>'Expenses 2020 to 2021'!U54</f>
        <v>0</v>
      </c>
      <c r="K50" s="14"/>
      <c r="L50" s="14">
        <f>'Expenses 2019 to 2020'!T75</f>
        <v>3014.48</v>
      </c>
      <c r="M50" s="15"/>
      <c r="N50" s="16">
        <f>'Expenses - TNRA EXPENSES 2018 -'!S87</f>
        <v>2624.83</v>
      </c>
      <c r="O50" s="16"/>
      <c r="P50" s="16">
        <v>2531</v>
      </c>
      <c r="Q50" s="16"/>
      <c r="R50" s="16">
        <v>2315</v>
      </c>
      <c r="S50" s="16"/>
      <c r="T50" s="16"/>
    </row>
    <row r="51" spans="1:20" ht="17" customHeight="1">
      <c r="A51" s="13" t="s">
        <v>38</v>
      </c>
      <c r="B51" s="14">
        <f>'Expenses 2023-2024'!W70</f>
        <v>24.86</v>
      </c>
      <c r="C51" s="60"/>
      <c r="D51" s="523"/>
      <c r="E51" s="523"/>
      <c r="F51" s="14">
        <v>28</v>
      </c>
      <c r="G51" s="60"/>
      <c r="H51" s="14">
        <v>8.9</v>
      </c>
      <c r="I51" s="60"/>
      <c r="J51" s="504">
        <f>'Expenses 2020 to 2021'!T54</f>
        <v>0</v>
      </c>
      <c r="K51" s="14"/>
      <c r="L51" s="14">
        <f>'Expenses 2019 to 2020'!S75</f>
        <v>94.88</v>
      </c>
      <c r="M51" s="15"/>
      <c r="N51" s="16">
        <f>'Expenses - TNRA EXPENSES 2018 -'!R87</f>
        <v>80.56</v>
      </c>
      <c r="O51" s="16"/>
      <c r="P51" s="16">
        <v>93</v>
      </c>
      <c r="Q51" s="16"/>
      <c r="R51" s="16">
        <v>25</v>
      </c>
      <c r="S51" s="16"/>
      <c r="T51" s="16"/>
    </row>
    <row r="52" spans="1:20" ht="17" customHeight="1">
      <c r="A52" s="13" t="s">
        <v>507</v>
      </c>
      <c r="B52" s="14">
        <f>'Expenses 2023-2024'!K70</f>
        <v>1110</v>
      </c>
      <c r="C52" s="60"/>
      <c r="D52" s="523"/>
      <c r="E52" s="523"/>
      <c r="F52" s="14">
        <v>1401</v>
      </c>
      <c r="G52" s="60"/>
      <c r="H52" s="26" t="s">
        <v>25</v>
      </c>
      <c r="I52" s="60"/>
      <c r="J52" s="509" t="s">
        <v>25</v>
      </c>
      <c r="K52" s="26"/>
      <c r="L52" s="26" t="s">
        <v>18</v>
      </c>
      <c r="M52" s="15"/>
      <c r="N52" s="16">
        <v>0</v>
      </c>
      <c r="O52" s="16"/>
      <c r="P52" s="16">
        <v>150</v>
      </c>
      <c r="Q52" s="16"/>
      <c r="R52" s="16">
        <v>0</v>
      </c>
      <c r="S52" s="16"/>
      <c r="T52" s="16"/>
    </row>
    <row r="53" spans="1:20" ht="17" customHeight="1">
      <c r="A53" s="13" t="s">
        <v>39</v>
      </c>
      <c r="B53" s="14">
        <f>'Expenses 2023-2024'!Y70</f>
        <v>448</v>
      </c>
      <c r="C53" s="17">
        <f>SUM(B37:B53)</f>
        <v>5457.74</v>
      </c>
      <c r="D53" s="523"/>
      <c r="E53" s="523"/>
      <c r="F53" s="17">
        <v>0</v>
      </c>
      <c r="G53" s="17">
        <f>SUM(F37:F53)</f>
        <v>6539</v>
      </c>
      <c r="H53" s="17">
        <v>0</v>
      </c>
      <c r="I53" s="17">
        <f>SUM(H37:H53)</f>
        <v>4058.1</v>
      </c>
      <c r="J53" s="510">
        <f>'Expenses 2020 to 2021'!V54</f>
        <v>0</v>
      </c>
      <c r="K53" s="17">
        <f>SUM(J40:J53)</f>
        <v>98.4</v>
      </c>
      <c r="L53" s="17">
        <f>'Expenses 2019 to 2020'!U75</f>
        <v>448</v>
      </c>
      <c r="M53" s="15">
        <f>SUM(L38:L53)</f>
        <v>6693.84</v>
      </c>
      <c r="N53" s="19">
        <f>'Expenses - TNRA EXPENSES 2018 -'!T87</f>
        <v>896</v>
      </c>
      <c r="O53" s="16">
        <f>SUM(N38:N53)</f>
        <v>7198.8200000000006</v>
      </c>
      <c r="P53" s="19">
        <f>'Expenses - TNRA EXPENSES 2018 -'!T49</f>
        <v>0</v>
      </c>
      <c r="Q53" s="16">
        <f>SUM(P40:P53)</f>
        <v>6079</v>
      </c>
      <c r="R53" s="19">
        <v>440</v>
      </c>
      <c r="S53" s="16">
        <f>SUM(R40:R53)</f>
        <v>9764.5600000000013</v>
      </c>
      <c r="T53" s="16"/>
    </row>
    <row r="54" spans="1:20" ht="17" customHeight="1">
      <c r="A54" s="20"/>
      <c r="B54" s="21"/>
      <c r="C54" s="60"/>
      <c r="D54" s="520"/>
      <c r="E54" s="520"/>
      <c r="F54" s="21"/>
      <c r="G54" s="60"/>
      <c r="H54" s="21"/>
      <c r="I54" s="60"/>
      <c r="J54" s="508"/>
      <c r="K54" s="21"/>
      <c r="L54" s="21"/>
      <c r="M54" s="15"/>
      <c r="N54" s="23"/>
      <c r="O54" s="24"/>
      <c r="P54" s="23"/>
      <c r="Q54" s="24"/>
      <c r="R54" s="30"/>
      <c r="S54" s="16"/>
      <c r="T54" s="16"/>
    </row>
    <row r="55" spans="1:20" ht="17" customHeight="1">
      <c r="A55" s="25" t="s">
        <v>40</v>
      </c>
      <c r="B55" s="14"/>
      <c r="C55" s="60"/>
      <c r="D55" s="520"/>
      <c r="E55" s="520"/>
      <c r="F55" s="14"/>
      <c r="G55" s="60"/>
      <c r="H55" s="14"/>
      <c r="I55" s="60"/>
      <c r="J55" s="504"/>
      <c r="K55" s="14"/>
      <c r="L55" s="14"/>
      <c r="M55" s="15"/>
      <c r="N55" s="24"/>
      <c r="O55" s="24"/>
      <c r="P55" s="24"/>
      <c r="Q55" s="24"/>
      <c r="R55" s="16"/>
      <c r="S55" s="16"/>
      <c r="T55" s="16"/>
    </row>
    <row r="56" spans="1:20" ht="17" customHeight="1">
      <c r="A56" s="13" t="s">
        <v>41</v>
      </c>
      <c r="B56" s="14">
        <f>'Expenses 2023-2024'!Z68</f>
        <v>0</v>
      </c>
      <c r="C56" s="60"/>
      <c r="D56" s="520"/>
      <c r="E56" s="520"/>
      <c r="F56" s="14">
        <v>135</v>
      </c>
      <c r="G56" s="60"/>
      <c r="H56" s="14">
        <v>0</v>
      </c>
      <c r="I56" s="60"/>
      <c r="J56" s="504">
        <f>'Expenses 2020 to 2021'!W54</f>
        <v>95.69</v>
      </c>
      <c r="K56" s="14"/>
      <c r="L56" s="14">
        <f>'Expenses 2019 to 2020'!V75</f>
        <v>309.47999999999996</v>
      </c>
      <c r="M56" s="15"/>
      <c r="N56" s="16">
        <f>'Expenses - TNRA EXPENSES 2018 -'!U87</f>
        <v>158.14999999999998</v>
      </c>
      <c r="O56" s="16"/>
      <c r="P56" s="16">
        <v>172</v>
      </c>
      <c r="Q56" s="16"/>
      <c r="R56" s="16">
        <v>212.8</v>
      </c>
      <c r="S56" s="16"/>
      <c r="T56" s="16"/>
    </row>
    <row r="57" spans="1:20" ht="17" customHeight="1">
      <c r="A57" s="13" t="s">
        <v>42</v>
      </c>
      <c r="B57" s="14">
        <f>'Expenses 2023-2024'!AA70</f>
        <v>2281.1999999999998</v>
      </c>
      <c r="C57" s="60"/>
      <c r="D57" s="520"/>
      <c r="E57" s="520"/>
      <c r="F57" s="14">
        <v>2680</v>
      </c>
      <c r="G57" s="60"/>
      <c r="H57" s="14">
        <f>'Expenses 2021-2022'!X75</f>
        <v>2222.35</v>
      </c>
      <c r="I57" s="60"/>
      <c r="J57" s="504">
        <f>'Expenses 2020 to 2021'!X54</f>
        <v>1665</v>
      </c>
      <c r="K57" s="14"/>
      <c r="L57" s="14">
        <f>'Expenses 2019 to 2020'!W75</f>
        <v>1188</v>
      </c>
      <c r="M57" s="15"/>
      <c r="N57" s="16">
        <f>'Expenses - TNRA EXPENSES 2018 -'!V87</f>
        <v>1306.5</v>
      </c>
      <c r="O57" s="16"/>
      <c r="P57" s="16">
        <v>1703</v>
      </c>
      <c r="Q57" s="16"/>
      <c r="R57" s="16">
        <v>2176.1</v>
      </c>
      <c r="S57" s="16"/>
      <c r="T57" s="16"/>
    </row>
    <row r="58" spans="1:20" ht="17" customHeight="1">
      <c r="A58" s="13" t="s">
        <v>43</v>
      </c>
      <c r="B58" s="14">
        <f>'Expenses 2023-2024'!AB70</f>
        <v>634.16</v>
      </c>
      <c r="C58" s="60"/>
      <c r="D58" s="520"/>
      <c r="E58" s="520"/>
      <c r="F58" s="14">
        <v>184</v>
      </c>
      <c r="G58" s="60"/>
      <c r="H58" s="14">
        <v>264.25</v>
      </c>
      <c r="I58" s="60"/>
      <c r="J58" s="504">
        <f>'Expenses 2020 to 2021'!Y54</f>
        <v>31.5</v>
      </c>
      <c r="K58" s="14"/>
      <c r="L58" s="14">
        <f>'Expenses 2019 to 2020'!X75</f>
        <v>251.64999999999998</v>
      </c>
      <c r="M58" s="15"/>
      <c r="N58" s="16">
        <f>'Expenses - TNRA EXPENSES 2018 -'!W87</f>
        <v>222.04999999999995</v>
      </c>
      <c r="O58" s="16"/>
      <c r="P58" s="16">
        <v>212</v>
      </c>
      <c r="Q58" s="16"/>
      <c r="R58" s="16">
        <v>346.61</v>
      </c>
      <c r="S58" s="16"/>
      <c r="T58" s="16"/>
    </row>
    <row r="59" spans="1:20" ht="26.75" customHeight="1">
      <c r="A59" s="13" t="s">
        <v>44</v>
      </c>
      <c r="B59" s="14">
        <f>'Expenses 2023-2024'!Z71</f>
        <v>0</v>
      </c>
      <c r="C59" s="60"/>
      <c r="D59" s="520"/>
      <c r="E59" s="520"/>
      <c r="F59" s="14">
        <v>0</v>
      </c>
      <c r="G59" s="60"/>
      <c r="H59" s="14">
        <v>0</v>
      </c>
      <c r="I59" s="60"/>
      <c r="J59" s="504">
        <f>-'Income 2020 to 2021 - Table 1-1'!T59+'Expenses 2020 to 2021'!Z54</f>
        <v>0.20000000000000284</v>
      </c>
      <c r="K59" s="14"/>
      <c r="L59" s="14">
        <f>'Expenses 2019 to 2020'!Y75</f>
        <v>115.97999999999999</v>
      </c>
      <c r="M59" s="15"/>
      <c r="N59" s="37" t="s">
        <v>18</v>
      </c>
      <c r="O59" s="16"/>
      <c r="P59" s="37" t="s">
        <v>18</v>
      </c>
      <c r="Q59" s="16"/>
      <c r="R59" s="37" t="s">
        <v>18</v>
      </c>
      <c r="S59" s="16"/>
      <c r="T59" s="16"/>
    </row>
    <row r="60" spans="1:20" ht="17" customHeight="1">
      <c r="A60" s="13" t="s">
        <v>45</v>
      </c>
      <c r="B60" s="14">
        <f>'Expenses 2023-2024'!AD70</f>
        <v>900</v>
      </c>
      <c r="C60" s="60"/>
      <c r="D60" s="520"/>
      <c r="E60" s="520"/>
      <c r="F60" s="14">
        <v>900</v>
      </c>
      <c r="G60" s="60"/>
      <c r="H60" s="14">
        <v>900</v>
      </c>
      <c r="I60" s="60"/>
      <c r="J60" s="504">
        <f>'Expenses 2020 to 2021'!AA54</f>
        <v>900</v>
      </c>
      <c r="K60" s="14"/>
      <c r="L60" s="14">
        <f>'Expenses 2019 to 2020'!Z75</f>
        <v>975</v>
      </c>
      <c r="M60" s="15"/>
      <c r="N60" s="16">
        <f>-'Income - TNRA INCOME 2018 to 20'!T94+'Expenses - TNRA EXPENSES 2018 -'!X87</f>
        <v>900</v>
      </c>
      <c r="O60" s="16"/>
      <c r="P60" s="16">
        <v>900</v>
      </c>
      <c r="Q60" s="16"/>
      <c r="R60" s="16">
        <v>909.9</v>
      </c>
      <c r="S60" s="16"/>
      <c r="T60" s="16"/>
    </row>
    <row r="61" spans="1:20" ht="17" customHeight="1">
      <c r="A61" s="13" t="s">
        <v>46</v>
      </c>
      <c r="B61" s="14">
        <f>'Expenses 2023-2024'!Z73</f>
        <v>0</v>
      </c>
      <c r="C61" s="60"/>
      <c r="D61" s="523"/>
      <c r="E61" s="523"/>
      <c r="F61" s="14">
        <v>0</v>
      </c>
      <c r="G61" s="60"/>
      <c r="H61" s="26" t="s">
        <v>25</v>
      </c>
      <c r="I61" s="60"/>
      <c r="J61" s="509" t="s">
        <v>25</v>
      </c>
      <c r="K61" s="26"/>
      <c r="L61" s="26" t="s">
        <v>18</v>
      </c>
      <c r="M61" s="15"/>
      <c r="N61" s="16">
        <f>'Expenses - TNRA EXPENSES 2018 -'!AA34</f>
        <v>202.8</v>
      </c>
      <c r="O61" s="16"/>
      <c r="P61" s="16">
        <v>203</v>
      </c>
      <c r="Q61" s="16"/>
      <c r="R61" s="16">
        <v>0</v>
      </c>
      <c r="S61" s="16"/>
      <c r="T61" s="16"/>
    </row>
    <row r="62" spans="1:20" ht="17" customHeight="1">
      <c r="A62" s="13" t="s">
        <v>47</v>
      </c>
      <c r="B62" s="14">
        <f>'Expenses 2023-2024'!Z74</f>
        <v>0</v>
      </c>
      <c r="C62" s="60"/>
      <c r="D62" s="523"/>
      <c r="E62" s="523"/>
      <c r="F62" s="14">
        <v>0</v>
      </c>
      <c r="G62" s="60"/>
      <c r="H62" s="26" t="s">
        <v>25</v>
      </c>
      <c r="I62" s="60"/>
      <c r="J62" s="509" t="s">
        <v>25</v>
      </c>
      <c r="K62" s="26"/>
      <c r="L62" s="26" t="s">
        <v>18</v>
      </c>
      <c r="M62" s="15"/>
      <c r="N62" s="16">
        <v>0</v>
      </c>
      <c r="O62" s="16"/>
      <c r="P62" s="16">
        <v>505</v>
      </c>
      <c r="Q62" s="16"/>
      <c r="R62" s="16">
        <v>0</v>
      </c>
      <c r="S62" s="16"/>
      <c r="T62" s="16"/>
    </row>
    <row r="63" spans="1:20" ht="17" customHeight="1">
      <c r="A63" s="13" t="s">
        <v>512</v>
      </c>
      <c r="B63" s="14">
        <f>'Expenses 2023-2024'!AE70</f>
        <v>20.100000000000001</v>
      </c>
      <c r="C63" s="60"/>
      <c r="D63" s="520"/>
      <c r="E63" s="520"/>
      <c r="F63" s="14">
        <v>106</v>
      </c>
      <c r="G63" s="60"/>
      <c r="H63" s="14">
        <v>0</v>
      </c>
      <c r="I63" s="60"/>
      <c r="J63" s="504">
        <v>0</v>
      </c>
      <c r="K63" s="14"/>
      <c r="L63" s="14">
        <f>'Expenses 2019 to 2020'!AA75</f>
        <v>112.5</v>
      </c>
      <c r="M63" s="15"/>
      <c r="N63" s="16"/>
      <c r="O63" s="16"/>
      <c r="P63" s="16"/>
      <c r="Q63" s="16"/>
      <c r="R63" s="16"/>
      <c r="S63" s="16"/>
      <c r="T63" s="16"/>
    </row>
    <row r="64" spans="1:20" ht="17" customHeight="1">
      <c r="A64" s="13" t="s">
        <v>49</v>
      </c>
      <c r="B64" s="14">
        <f>'Expenses 2023-2024'!Z76</f>
        <v>0</v>
      </c>
      <c r="C64" s="60"/>
      <c r="D64" s="520"/>
      <c r="E64" s="520"/>
      <c r="F64" s="14">
        <v>0</v>
      </c>
      <c r="G64" s="60"/>
      <c r="H64" s="14">
        <v>0</v>
      </c>
      <c r="I64" s="60"/>
      <c r="J64" s="504">
        <v>0</v>
      </c>
      <c r="K64" s="14"/>
      <c r="L64" s="14">
        <f>'Expenses 2019 to 2020'!AB75</f>
        <v>0</v>
      </c>
      <c r="M64" s="15"/>
      <c r="N64" s="16"/>
      <c r="O64" s="16"/>
      <c r="P64" s="16"/>
      <c r="Q64" s="16"/>
      <c r="R64" s="16"/>
      <c r="S64" s="16"/>
      <c r="T64" s="16"/>
    </row>
    <row r="65" spans="1:20" ht="17" customHeight="1">
      <c r="A65" s="13" t="s">
        <v>50</v>
      </c>
      <c r="B65" s="14">
        <f>'Expenses 2023-2024'!Z77</f>
        <v>0</v>
      </c>
      <c r="C65" s="60"/>
      <c r="D65" s="520"/>
      <c r="E65" s="520"/>
      <c r="F65" s="14">
        <v>0</v>
      </c>
      <c r="G65" s="60"/>
      <c r="H65" s="14">
        <v>0</v>
      </c>
      <c r="I65" s="60"/>
      <c r="J65" s="504">
        <f>'Expenses 2020 to 2021'!AD54</f>
        <v>0</v>
      </c>
      <c r="K65" s="14"/>
      <c r="L65" s="14">
        <f>'Expenses 2019 to 2020'!AC75</f>
        <v>864</v>
      </c>
      <c r="M65" s="15"/>
      <c r="N65" s="16">
        <f>'Expenses - TNRA EXPENSES 2018 -'!Y87</f>
        <v>1200</v>
      </c>
      <c r="O65" s="16"/>
      <c r="P65" s="16">
        <f>'Expenses - TNRA EXPENSES 2018 -'!Y49</f>
        <v>0</v>
      </c>
      <c r="Q65" s="16"/>
      <c r="R65" s="16">
        <v>450</v>
      </c>
      <c r="S65" s="16"/>
      <c r="T65" s="16"/>
    </row>
    <row r="66" spans="1:20" ht="17" customHeight="1">
      <c r="A66" s="13" t="s">
        <v>51</v>
      </c>
      <c r="B66" s="14">
        <f>'Expenses 2023-2024'!Z78</f>
        <v>0</v>
      </c>
      <c r="C66" s="60"/>
      <c r="D66" s="523"/>
      <c r="E66" s="523"/>
      <c r="F66" s="14">
        <v>0</v>
      </c>
      <c r="G66" s="60"/>
      <c r="H66" s="26" t="s">
        <v>25</v>
      </c>
      <c r="I66" s="60"/>
      <c r="J66" s="509" t="s">
        <v>25</v>
      </c>
      <c r="K66" s="26"/>
      <c r="L66" s="26" t="s">
        <v>18</v>
      </c>
      <c r="M66" s="15"/>
      <c r="N66" s="16">
        <v>0</v>
      </c>
      <c r="O66" s="16"/>
      <c r="P66" s="16">
        <v>0</v>
      </c>
      <c r="Q66" s="16"/>
      <c r="R66" s="16">
        <v>0</v>
      </c>
      <c r="S66" s="16"/>
      <c r="T66" s="16"/>
    </row>
    <row r="67" spans="1:20" ht="17" customHeight="1">
      <c r="A67" s="13" t="s">
        <v>52</v>
      </c>
      <c r="B67" s="14">
        <f>'Expenses 2023-2024'!Z79</f>
        <v>0</v>
      </c>
      <c r="C67" s="60"/>
      <c r="D67" s="520"/>
      <c r="E67" s="520"/>
      <c r="F67" s="14">
        <v>0</v>
      </c>
      <c r="G67" s="60"/>
      <c r="H67" s="14">
        <v>0</v>
      </c>
      <c r="I67" s="60"/>
      <c r="J67" s="504"/>
      <c r="K67" s="14"/>
      <c r="L67" s="14"/>
      <c r="M67" s="15"/>
      <c r="N67" s="16">
        <v>0</v>
      </c>
      <c r="O67" s="16"/>
      <c r="P67" s="16">
        <v>181</v>
      </c>
      <c r="Q67" s="16"/>
      <c r="R67" s="16"/>
      <c r="S67" s="16"/>
      <c r="T67" s="16"/>
    </row>
    <row r="68" spans="1:20" ht="17" customHeight="1">
      <c r="A68" s="13" t="s">
        <v>53</v>
      </c>
      <c r="B68" s="14">
        <f>'Expenses 2023-2024'!AH70</f>
        <v>514.54</v>
      </c>
      <c r="C68" s="60"/>
      <c r="D68" s="520"/>
      <c r="E68" s="520"/>
      <c r="F68" s="14">
        <v>1766</v>
      </c>
      <c r="G68" s="60"/>
      <c r="H68" s="14">
        <f>'Expenses 2021-2022'!AE75</f>
        <v>429.48999999999995</v>
      </c>
      <c r="I68" s="60"/>
      <c r="J68" s="504">
        <f>'Expenses 2020 to 2021'!AE54</f>
        <v>361.07</v>
      </c>
      <c r="K68" s="14"/>
      <c r="L68" s="14">
        <f>'Expenses 2019 to 2020'!AD75</f>
        <v>286.66999999999996</v>
      </c>
      <c r="M68" s="15"/>
      <c r="N68" s="16">
        <f>'Expenses - TNRA EXPENSES 2018 -'!Z87</f>
        <v>385.08</v>
      </c>
      <c r="O68" s="16"/>
      <c r="P68" s="16">
        <v>234</v>
      </c>
      <c r="Q68" s="16"/>
      <c r="R68" s="16">
        <v>1787</v>
      </c>
      <c r="S68" s="16"/>
      <c r="T68" s="16"/>
    </row>
    <row r="69" spans="1:20" ht="17" customHeight="1">
      <c r="A69" s="13" t="s">
        <v>54</v>
      </c>
      <c r="B69" s="14">
        <v>0</v>
      </c>
      <c r="C69" s="60"/>
      <c r="D69" s="523"/>
      <c r="E69" s="523"/>
      <c r="F69" s="14">
        <v>0</v>
      </c>
      <c r="G69" s="60"/>
      <c r="H69" s="26" t="s">
        <v>25</v>
      </c>
      <c r="I69" s="60"/>
      <c r="J69" s="509" t="s">
        <v>25</v>
      </c>
      <c r="K69" s="26"/>
      <c r="L69" s="26" t="s">
        <v>18</v>
      </c>
      <c r="M69" s="15"/>
      <c r="N69" s="16">
        <v>0</v>
      </c>
      <c r="O69" s="16"/>
      <c r="P69" s="16">
        <v>0</v>
      </c>
      <c r="Q69" s="16"/>
      <c r="R69" s="16">
        <v>99.88</v>
      </c>
      <c r="S69" s="16"/>
      <c r="T69" s="16"/>
    </row>
    <row r="70" spans="1:20" ht="17" customHeight="1">
      <c r="A70" s="13" t="s">
        <v>55</v>
      </c>
      <c r="B70" s="14">
        <v>0</v>
      </c>
      <c r="C70" s="60"/>
      <c r="D70" s="520"/>
      <c r="E70" s="520"/>
      <c r="F70" s="14">
        <v>0</v>
      </c>
      <c r="G70" s="60"/>
      <c r="H70" s="14">
        <v>0</v>
      </c>
      <c r="I70" s="60"/>
      <c r="J70" s="504">
        <v>0</v>
      </c>
      <c r="K70" s="38"/>
      <c r="L70" s="14">
        <f>'Expenses 2019 to 2020'!AE75</f>
        <v>105</v>
      </c>
      <c r="M70" s="15"/>
      <c r="N70" s="16">
        <f>'Expenses - TNRA EXPENSES 2018 -'!AA17</f>
        <v>103</v>
      </c>
      <c r="O70" s="16"/>
      <c r="P70" s="16"/>
      <c r="Q70" s="16"/>
      <c r="R70" s="16"/>
      <c r="S70" s="16"/>
      <c r="T70" s="16"/>
    </row>
    <row r="71" spans="1:20" ht="17" customHeight="1">
      <c r="A71" s="13" t="s">
        <v>509</v>
      </c>
      <c r="B71" s="14">
        <f>'Expenses 2023-2024'!AF70</f>
        <v>150</v>
      </c>
      <c r="C71" s="17">
        <f>SUM(B56:B71)</f>
        <v>4500</v>
      </c>
      <c r="D71" s="525"/>
      <c r="E71" s="525"/>
      <c r="F71" s="14">
        <v>500</v>
      </c>
      <c r="G71" s="17">
        <f>SUM(F56:F71)</f>
        <v>6271</v>
      </c>
      <c r="H71" s="39">
        <f>86.67+330</f>
        <v>416.67</v>
      </c>
      <c r="I71" s="17">
        <f>SUM(H56:H71)</f>
        <v>4232.7599999999993</v>
      </c>
      <c r="J71" s="512">
        <v>0</v>
      </c>
      <c r="K71" s="40">
        <f>SUM(J56:J71)</f>
        <v>3053.4600000000005</v>
      </c>
      <c r="L71" s="41">
        <v>50</v>
      </c>
      <c r="M71" s="15">
        <f>SUM(L56:L71)</f>
        <v>4258.28</v>
      </c>
      <c r="N71" s="19">
        <v>0</v>
      </c>
      <c r="O71" s="16">
        <f>SUM(N56:N71)</f>
        <v>4477.58</v>
      </c>
      <c r="P71" s="19">
        <v>152</v>
      </c>
      <c r="Q71" s="16">
        <f>SUM(P56:P71)</f>
        <v>4262</v>
      </c>
      <c r="R71" s="42" t="s">
        <v>18</v>
      </c>
      <c r="S71" s="16">
        <f>SUM(R56:R71)</f>
        <v>5982.29</v>
      </c>
      <c r="T71" s="16"/>
    </row>
    <row r="72" spans="1:20" ht="17" customHeight="1">
      <c r="A72" s="20"/>
      <c r="B72" s="21"/>
      <c r="C72" s="60"/>
      <c r="D72" s="520"/>
      <c r="E72" s="520"/>
      <c r="F72" s="21"/>
      <c r="G72" s="60"/>
      <c r="H72" s="21"/>
      <c r="I72" s="60"/>
      <c r="J72" s="513"/>
      <c r="K72" s="43"/>
      <c r="L72" s="44"/>
      <c r="M72" s="31"/>
      <c r="N72" s="30"/>
      <c r="O72" s="19"/>
      <c r="P72" s="30"/>
      <c r="Q72" s="19"/>
      <c r="R72" s="30"/>
      <c r="S72" s="19"/>
      <c r="T72" s="19"/>
    </row>
    <row r="73" spans="1:20" ht="17" customHeight="1">
      <c r="A73" s="25" t="s">
        <v>56</v>
      </c>
      <c r="B73" s="32"/>
      <c r="C73" s="540">
        <f>C35+C53+C71</f>
        <v>10157.74</v>
      </c>
      <c r="D73" s="524"/>
      <c r="E73" s="524"/>
      <c r="F73" s="32"/>
      <c r="G73" s="540">
        <f>G35+G53+G71</f>
        <v>13315</v>
      </c>
      <c r="H73" s="32"/>
      <c r="I73" s="45">
        <f>I35+I53+I71</f>
        <v>8540.86</v>
      </c>
      <c r="J73" s="511"/>
      <c r="K73" s="45">
        <f>K71+K53+K35</f>
        <v>4703.130000000001</v>
      </c>
      <c r="L73" s="32"/>
      <c r="M73" s="33">
        <f>SUM(M35:M72)</f>
        <v>11700.99</v>
      </c>
      <c r="N73" s="24"/>
      <c r="O73" s="23">
        <f>O71+O35+O53</f>
        <v>12357.220000000001</v>
      </c>
      <c r="P73" s="24"/>
      <c r="Q73" s="23">
        <f>Q71+Q53+Q35</f>
        <v>11421</v>
      </c>
      <c r="R73" s="24"/>
      <c r="S73" s="23">
        <f>S71+S53+S35</f>
        <v>17311.920000000002</v>
      </c>
      <c r="T73" s="23"/>
    </row>
    <row r="74" spans="1:20" ht="17" customHeight="1">
      <c r="A74" s="20"/>
      <c r="B74" s="14"/>
      <c r="C74" s="60"/>
      <c r="D74" s="520"/>
      <c r="E74" s="520"/>
      <c r="F74" s="14"/>
      <c r="G74" s="60"/>
      <c r="H74" s="14"/>
      <c r="I74" s="60"/>
      <c r="J74" s="504"/>
      <c r="K74" s="14"/>
      <c r="L74" s="14"/>
      <c r="M74" s="31"/>
      <c r="N74" s="24"/>
      <c r="O74" s="46"/>
      <c r="P74" s="24"/>
      <c r="Q74" s="46"/>
      <c r="R74" s="24"/>
      <c r="S74" s="46"/>
      <c r="T74" s="46"/>
    </row>
    <row r="75" spans="1:20" ht="17" customHeight="1">
      <c r="A75" s="25" t="s">
        <v>57</v>
      </c>
      <c r="B75" s="514" t="s">
        <v>8</v>
      </c>
      <c r="C75" s="51">
        <f>C28-C73</f>
        <v>-1908.9699999999993</v>
      </c>
      <c r="D75" s="526"/>
      <c r="E75" s="526"/>
      <c r="F75" s="562" t="s">
        <v>8</v>
      </c>
      <c r="G75" s="51">
        <f>G28-G73</f>
        <v>-5018</v>
      </c>
      <c r="H75" s="514" t="s">
        <v>8</v>
      </c>
      <c r="I75" s="539">
        <f>I28-I73</f>
        <v>14622.54</v>
      </c>
      <c r="J75" s="514" t="s">
        <v>8</v>
      </c>
      <c r="K75" s="48">
        <f>K28-K73</f>
        <v>1709.619999999999</v>
      </c>
      <c r="L75" s="47" t="s">
        <v>8</v>
      </c>
      <c r="M75" s="49">
        <f>M28-M73</f>
        <v>3806.5200000000004</v>
      </c>
      <c r="N75" s="50" t="s">
        <v>8</v>
      </c>
      <c r="O75" s="51">
        <f>O28-O73</f>
        <v>-761.13000000000102</v>
      </c>
      <c r="P75" s="50" t="s">
        <v>8</v>
      </c>
      <c r="Q75" s="52">
        <f>Q28-Q73</f>
        <v>5860</v>
      </c>
      <c r="R75" s="50" t="s">
        <v>8</v>
      </c>
      <c r="S75" s="51">
        <f>S28-S73</f>
        <v>-6259.5600000000013</v>
      </c>
      <c r="T75" s="51"/>
    </row>
    <row r="76" spans="1:20" ht="17" customHeight="1">
      <c r="A76" s="20"/>
      <c r="B76" s="14"/>
      <c r="C76" s="60"/>
      <c r="D76" s="520"/>
      <c r="E76" s="520"/>
      <c r="F76" s="14"/>
      <c r="G76" s="60"/>
      <c r="H76" s="14"/>
      <c r="I76" s="60"/>
      <c r="J76" s="504"/>
      <c r="K76" s="14"/>
      <c r="L76" s="14"/>
      <c r="M76" s="22"/>
      <c r="N76" s="53"/>
      <c r="O76" s="23"/>
      <c r="P76" s="53"/>
      <c r="Q76" s="23"/>
      <c r="R76" s="35"/>
      <c r="S76" s="30"/>
      <c r="T76" s="30"/>
    </row>
    <row r="77" spans="1:20" ht="17" customHeight="1">
      <c r="A77" s="25" t="s">
        <v>58</v>
      </c>
      <c r="B77" s="14"/>
      <c r="C77" s="60">
        <f>'Bank down load 2023-2024'!F6</f>
        <v>6011.1899999999951</v>
      </c>
      <c r="D77" s="520"/>
      <c r="E77" s="520"/>
      <c r="F77" s="14"/>
      <c r="G77" s="60">
        <v>25720.62</v>
      </c>
      <c r="H77" s="14"/>
      <c r="I77" s="60">
        <f>26085.59</f>
        <v>26085.59</v>
      </c>
      <c r="J77" s="504"/>
      <c r="K77" s="14">
        <v>15681</v>
      </c>
      <c r="L77" s="14"/>
      <c r="M77" s="15">
        <v>16874.669999999998</v>
      </c>
      <c r="N77" s="53"/>
      <c r="O77" s="54">
        <v>12738</v>
      </c>
      <c r="P77" s="35"/>
      <c r="Q77" s="16">
        <v>12631</v>
      </c>
      <c r="R77" s="35"/>
      <c r="S77" s="16">
        <v>7969.07</v>
      </c>
      <c r="T77" s="16"/>
    </row>
    <row r="78" spans="1:20" ht="17" customHeight="1">
      <c r="A78" s="25" t="s">
        <v>495</v>
      </c>
      <c r="B78" s="14"/>
      <c r="C78" s="60">
        <f>'Bank down load 2023-2024'!F26</f>
        <v>3489.0899999999974</v>
      </c>
      <c r="D78" s="520"/>
      <c r="E78" s="520"/>
      <c r="F78" s="14"/>
      <c r="G78" s="60">
        <v>5911.33</v>
      </c>
      <c r="H78" s="14"/>
      <c r="I78" s="60">
        <f>'Bank down load 2021-2022'!F30</f>
        <v>12415.400000000001</v>
      </c>
      <c r="J78" s="504"/>
      <c r="K78" s="14">
        <f>1463.43+6733.85</f>
        <v>8197.2800000000007</v>
      </c>
      <c r="L78" s="14"/>
      <c r="M78" s="31">
        <f>1252.35+4041.81</f>
        <v>5294.16</v>
      </c>
      <c r="N78" s="53"/>
      <c r="O78" s="55">
        <v>5624</v>
      </c>
      <c r="P78" s="35"/>
      <c r="Q78" s="19">
        <f>2321.69+4171.52</f>
        <v>6493.2100000000009</v>
      </c>
      <c r="R78" s="35"/>
      <c r="S78" s="19">
        <v>5294</v>
      </c>
      <c r="T78" s="19"/>
    </row>
    <row r="79" spans="1:20" ht="17" customHeight="1">
      <c r="A79" s="25" t="s">
        <v>638</v>
      </c>
      <c r="B79" s="504"/>
      <c r="C79" s="60">
        <f>'Bank down load 2023-2024'!F155</f>
        <v>20222.5</v>
      </c>
      <c r="D79" s="520"/>
      <c r="E79" s="520"/>
      <c r="F79" s="14"/>
      <c r="G79" s="60"/>
      <c r="H79" s="504"/>
      <c r="I79" s="60"/>
      <c r="J79" s="504"/>
      <c r="K79" s="14"/>
      <c r="L79" s="14"/>
      <c r="M79" s="536"/>
      <c r="N79" s="53"/>
      <c r="O79" s="537"/>
      <c r="P79" s="35"/>
      <c r="Q79" s="538"/>
      <c r="R79" s="35"/>
      <c r="S79" s="538"/>
      <c r="T79" s="538"/>
    </row>
    <row r="80" spans="1:20" ht="17" customHeight="1">
      <c r="A80" s="25" t="s">
        <v>494</v>
      </c>
      <c r="B80" s="504"/>
      <c r="C80" s="60">
        <v>1850.87</v>
      </c>
      <c r="D80" s="520"/>
      <c r="E80" s="520"/>
      <c r="F80" s="14"/>
      <c r="G80" s="60">
        <v>1850.49</v>
      </c>
      <c r="H80" s="504"/>
      <c r="I80" s="60">
        <v>0</v>
      </c>
      <c r="J80" s="504"/>
      <c r="K80" s="14"/>
      <c r="L80" s="14"/>
      <c r="M80" s="536"/>
      <c r="N80" s="53"/>
      <c r="O80" s="537"/>
      <c r="P80" s="35"/>
      <c r="Q80" s="538"/>
      <c r="R80" s="35"/>
      <c r="S80" s="538"/>
      <c r="T80" s="538"/>
    </row>
    <row r="81" spans="1:20" ht="17" customHeight="1">
      <c r="A81" s="20"/>
      <c r="B81" s="514" t="s">
        <v>8</v>
      </c>
      <c r="C81" s="539">
        <f>SUM(C77:C80)</f>
        <v>31573.649999999991</v>
      </c>
      <c r="D81" s="527"/>
      <c r="E81" s="527"/>
      <c r="F81" s="562" t="s">
        <v>8</v>
      </c>
      <c r="G81" s="539">
        <f>SUM(G77:G80)</f>
        <v>33482.439999999995</v>
      </c>
      <c r="H81" s="514" t="s">
        <v>8</v>
      </c>
      <c r="I81" s="539">
        <f>SUM(I77:I80)</f>
        <v>38500.990000000005</v>
      </c>
      <c r="J81" s="514" t="s">
        <v>8</v>
      </c>
      <c r="K81" s="48">
        <f>SUM(K77:K78)</f>
        <v>23878.28</v>
      </c>
      <c r="L81" s="47" t="s">
        <v>8</v>
      </c>
      <c r="M81" s="56">
        <f>SUM(M77:M78)</f>
        <v>22168.829999999998</v>
      </c>
      <c r="N81" s="50" t="s">
        <v>8</v>
      </c>
      <c r="O81" s="52">
        <f>SUM(O77:O78)</f>
        <v>18362</v>
      </c>
      <c r="P81" s="36"/>
      <c r="Q81" s="52">
        <f>Q77+Q78</f>
        <v>19124.21</v>
      </c>
      <c r="R81" s="50" t="s">
        <v>8</v>
      </c>
      <c r="S81" s="52">
        <f>S77+S78</f>
        <v>13263.07</v>
      </c>
      <c r="T81" s="52"/>
    </row>
    <row r="82" spans="1:20" ht="17" customHeight="1">
      <c r="A82" s="20"/>
      <c r="B82" s="48"/>
      <c r="C82" s="539"/>
      <c r="D82" s="528"/>
      <c r="E82" s="528"/>
      <c r="F82" s="48"/>
      <c r="G82" s="539"/>
      <c r="H82" s="48"/>
      <c r="I82" s="539"/>
      <c r="J82" s="515"/>
      <c r="K82" s="48"/>
      <c r="L82" s="48"/>
      <c r="M82" s="22"/>
      <c r="N82" s="57"/>
      <c r="O82" s="58"/>
      <c r="P82" s="36"/>
      <c r="Q82" s="59"/>
      <c r="R82" s="36"/>
      <c r="S82" s="59"/>
      <c r="T82" s="59"/>
    </row>
    <row r="83" spans="1:20" ht="17" customHeight="1">
      <c r="A83" s="20"/>
      <c r="B83" s="48"/>
      <c r="C83" s="539"/>
      <c r="D83" s="528"/>
      <c r="E83" s="528"/>
      <c r="F83" s="48"/>
      <c r="G83" s="539"/>
      <c r="H83" s="48"/>
      <c r="I83" s="539"/>
      <c r="J83" s="515"/>
      <c r="K83" s="48"/>
      <c r="L83" s="48"/>
      <c r="M83" s="15"/>
      <c r="N83" s="53"/>
      <c r="O83" s="24"/>
      <c r="P83" s="35"/>
      <c r="Q83" s="16"/>
      <c r="R83" s="35"/>
      <c r="S83" s="16"/>
      <c r="T83" s="16"/>
    </row>
    <row r="84" spans="1:20" ht="17" customHeight="1">
      <c r="A84" s="25" t="s">
        <v>59</v>
      </c>
      <c r="B84" s="48"/>
      <c r="C84" s="563">
        <f>G86</f>
        <v>33482.550000000003</v>
      </c>
      <c r="D84" s="528"/>
      <c r="E84" s="528"/>
      <c r="F84" s="48"/>
      <c r="G84" s="563">
        <f>I86</f>
        <v>38500.550000000003</v>
      </c>
      <c r="H84" s="48"/>
      <c r="I84" s="60">
        <f>K86</f>
        <v>23878.01</v>
      </c>
      <c r="J84" s="515"/>
      <c r="K84" s="60">
        <f>M86</f>
        <v>22168.39</v>
      </c>
      <c r="L84" s="48"/>
      <c r="M84" s="15">
        <f>O86</f>
        <v>18361.87</v>
      </c>
      <c r="N84" s="35"/>
      <c r="O84" s="54">
        <v>19123</v>
      </c>
      <c r="P84" s="35"/>
      <c r="Q84" s="16">
        <f>S86</f>
        <v>13263.439999999999</v>
      </c>
      <c r="R84" s="35"/>
      <c r="S84" s="16">
        <v>19523</v>
      </c>
      <c r="T84" s="16"/>
    </row>
    <row r="85" spans="1:20" ht="17" customHeight="1">
      <c r="A85" s="25" t="s">
        <v>60</v>
      </c>
      <c r="B85" s="48"/>
      <c r="C85" s="63">
        <f>C75</f>
        <v>-1908.9699999999993</v>
      </c>
      <c r="D85" s="528"/>
      <c r="E85" s="528"/>
      <c r="F85" s="48"/>
      <c r="G85" s="63">
        <f>G75</f>
        <v>-5018</v>
      </c>
      <c r="H85" s="48"/>
      <c r="I85" s="60">
        <f>I75</f>
        <v>14622.54</v>
      </c>
      <c r="J85" s="515"/>
      <c r="K85" s="60">
        <f>K75</f>
        <v>1709.619999999999</v>
      </c>
      <c r="L85" s="48"/>
      <c r="M85" s="61">
        <f>M75</f>
        <v>3806.5200000000004</v>
      </c>
      <c r="N85" s="8"/>
      <c r="O85" s="62">
        <f>O75</f>
        <v>-761.13000000000102</v>
      </c>
      <c r="P85" s="35"/>
      <c r="Q85" s="19">
        <f>Q75</f>
        <v>5860</v>
      </c>
      <c r="R85" s="35"/>
      <c r="S85" s="63">
        <f>S75</f>
        <v>-6259.5600000000013</v>
      </c>
      <c r="T85" s="63"/>
    </row>
    <row r="86" spans="1:20" ht="17" customHeight="1">
      <c r="A86" s="20"/>
      <c r="B86" s="514" t="s">
        <v>8</v>
      </c>
      <c r="C86" s="48">
        <f>C84+C85</f>
        <v>31573.58</v>
      </c>
      <c r="D86" s="526"/>
      <c r="E86" s="526"/>
      <c r="F86" s="562" t="s">
        <v>8</v>
      </c>
      <c r="G86" s="48">
        <f>G84+G85</f>
        <v>33482.550000000003</v>
      </c>
      <c r="H86" s="514" t="s">
        <v>8</v>
      </c>
      <c r="I86" s="48">
        <f>I84+I85</f>
        <v>38500.550000000003</v>
      </c>
      <c r="J86" s="514" t="s">
        <v>8</v>
      </c>
      <c r="K86" s="48">
        <f>K84+K85</f>
        <v>23878.01</v>
      </c>
      <c r="L86" s="47" t="s">
        <v>8</v>
      </c>
      <c r="M86" s="64">
        <f>M84+M85</f>
        <v>22168.39</v>
      </c>
      <c r="N86" s="50" t="s">
        <v>8</v>
      </c>
      <c r="O86" s="52">
        <f>O84+O85</f>
        <v>18361.87</v>
      </c>
      <c r="P86" s="50" t="s">
        <v>8</v>
      </c>
      <c r="Q86" s="52">
        <f>Q84+Q85</f>
        <v>19123.439999999999</v>
      </c>
      <c r="R86" s="50" t="s">
        <v>8</v>
      </c>
      <c r="S86" s="52">
        <f>S84+S85</f>
        <v>13263.439999999999</v>
      </c>
      <c r="T86" s="52"/>
    </row>
    <row r="87" spans="1:20" ht="17" customHeight="1">
      <c r="A87" s="20"/>
      <c r="B87" s="14"/>
      <c r="C87" s="65">
        <f>C81-C86</f>
        <v>6.9999999988795025E-2</v>
      </c>
      <c r="D87" s="520"/>
      <c r="E87" s="520"/>
      <c r="F87" s="14"/>
      <c r="G87" s="65">
        <f>G81-G86</f>
        <v>-0.11000000000785803</v>
      </c>
      <c r="H87" s="14"/>
      <c r="I87" s="65">
        <f>I81-I86</f>
        <v>0.44000000000232831</v>
      </c>
      <c r="J87" s="504"/>
      <c r="K87" s="65">
        <f>K81-K86</f>
        <v>0.27000000000043656</v>
      </c>
      <c r="L87" s="15"/>
      <c r="M87" s="66"/>
      <c r="N87" s="24"/>
      <c r="O87" s="23"/>
      <c r="P87" s="24"/>
      <c r="Q87" s="23"/>
      <c r="R87" s="16"/>
      <c r="S87" s="30"/>
      <c r="T87" s="30"/>
    </row>
    <row r="88" spans="1:20" ht="17" customHeight="1">
      <c r="A88" s="576" t="s">
        <v>61</v>
      </c>
      <c r="B88" s="577"/>
      <c r="C88" s="577"/>
      <c r="D88" s="577"/>
      <c r="E88" s="577"/>
      <c r="F88" s="577"/>
      <c r="G88" s="577"/>
      <c r="H88" s="578"/>
      <c r="I88" s="578"/>
      <c r="J88" s="578"/>
      <c r="K88" s="578"/>
      <c r="L88" s="578"/>
      <c r="M88" s="67"/>
      <c r="N88" s="68"/>
      <c r="O88" s="68"/>
      <c r="P88" s="68"/>
      <c r="Q88" s="68"/>
      <c r="R88" s="69"/>
      <c r="S88" s="69"/>
      <c r="T88" s="69"/>
    </row>
  </sheetData>
  <mergeCells count="11">
    <mergeCell ref="A88:L88"/>
    <mergeCell ref="J3:K3"/>
    <mergeCell ref="H3:I3"/>
    <mergeCell ref="A1:S1"/>
    <mergeCell ref="R3:S3"/>
    <mergeCell ref="R2:S2"/>
    <mergeCell ref="P3:Q3"/>
    <mergeCell ref="N3:O3"/>
    <mergeCell ref="L3:M3"/>
    <mergeCell ref="F3:G3"/>
    <mergeCell ref="B3:C3"/>
  </mergeCells>
  <pageMargins left="0.51181102362204722" right="0.23622047244094491" top="0.23622047244094491" bottom="0.23622047244094491" header="0" footer="0"/>
  <pageSetup scale="42" orientation="landscape" r:id="rId1"/>
  <headerFooter>
    <oddFooter>&amp;C&amp;"Helvetica Neue,Regular"&amp;12&amp;K000000&amp;P</oddFooter>
  </headerFooter>
  <ignoredErrors>
    <ignoredError sqref="H46:H49 H61 H62:H67 H52 H6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"/>
  <sheetViews>
    <sheetView showGridLines="0" topLeftCell="A72" workbookViewId="0">
      <selection activeCell="G89" sqref="G89"/>
    </sheetView>
  </sheetViews>
  <sheetFormatPr baseColWidth="10" defaultColWidth="16.33203125" defaultRowHeight="14" customHeight="1"/>
  <cols>
    <col min="1" max="1" width="11" style="1" customWidth="1"/>
    <col min="2" max="2" width="7.33203125" style="1" customWidth="1"/>
    <col min="3" max="3" width="21" style="1" customWidth="1"/>
    <col min="4" max="5" width="8" style="1" customWidth="1"/>
    <col min="6" max="6" width="6.33203125" style="1" customWidth="1"/>
    <col min="7" max="7" width="8" style="1" customWidth="1"/>
    <col min="8" max="8" width="6.33203125" style="1" customWidth="1"/>
    <col min="9" max="9" width="5.33203125" style="1" customWidth="1"/>
    <col min="10" max="10" width="4.83203125" style="1" customWidth="1"/>
    <col min="11" max="11" width="5.5" style="1" customWidth="1"/>
    <col min="12" max="12" width="6.33203125" style="1" customWidth="1"/>
    <col min="13" max="13" width="5.83203125" style="1" customWidth="1"/>
    <col min="14" max="15" width="6.33203125" style="1" customWidth="1"/>
    <col min="16" max="16" width="5.6640625" style="1" customWidth="1"/>
    <col min="17" max="17" width="6.33203125" style="1" customWidth="1"/>
    <col min="18" max="18" width="4.33203125" style="1" customWidth="1"/>
    <col min="19" max="19" width="5.83203125" style="1" customWidth="1"/>
    <col min="20" max="20" width="6.5" style="1" customWidth="1"/>
    <col min="21" max="21" width="16.33203125" style="1" customWidth="1"/>
    <col min="22" max="16384" width="16.33203125" style="1"/>
  </cols>
  <sheetData>
    <row r="1" spans="1:20" ht="17.25" customHeight="1">
      <c r="A1" s="589" t="s">
        <v>196</v>
      </c>
      <c r="B1" s="590"/>
      <c r="C1" s="591"/>
      <c r="D1" s="591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</row>
    <row r="2" spans="1:20" ht="14.75" customHeight="1">
      <c r="A2" s="134"/>
      <c r="B2" s="70"/>
      <c r="C2" s="71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4.75" customHeight="1">
      <c r="A3" s="135"/>
      <c r="B3" s="70"/>
      <c r="C3" s="171" t="s">
        <v>63</v>
      </c>
      <c r="D3" s="74"/>
      <c r="E3" s="72"/>
      <c r="F3" s="76" t="s">
        <v>64</v>
      </c>
      <c r="G3" s="76" t="s">
        <v>65</v>
      </c>
      <c r="H3" s="76" t="s">
        <v>66</v>
      </c>
      <c r="I3" s="72"/>
      <c r="J3" s="72"/>
      <c r="K3" s="72"/>
      <c r="L3" s="72"/>
      <c r="M3" s="76" t="s">
        <v>16</v>
      </c>
      <c r="N3" s="76"/>
      <c r="O3" s="76"/>
      <c r="P3" s="72"/>
      <c r="Q3" s="72"/>
      <c r="R3" s="72"/>
      <c r="S3" s="72"/>
      <c r="T3" s="72"/>
    </row>
    <row r="4" spans="1:20" ht="26.75" customHeight="1">
      <c r="A4" s="77"/>
      <c r="B4" s="77"/>
      <c r="C4" s="136"/>
      <c r="D4" s="137"/>
      <c r="E4" s="79"/>
      <c r="F4" s="79"/>
      <c r="G4" s="79"/>
      <c r="H4" s="78" t="s">
        <v>71</v>
      </c>
      <c r="I4" s="78" t="s">
        <v>10</v>
      </c>
      <c r="J4" s="78" t="s">
        <v>72</v>
      </c>
      <c r="K4" s="78" t="s">
        <v>73</v>
      </c>
      <c r="L4" s="78" t="s">
        <v>15</v>
      </c>
      <c r="M4" s="78" t="s">
        <v>13</v>
      </c>
      <c r="N4" s="78" t="s">
        <v>74</v>
      </c>
      <c r="O4" s="78" t="s">
        <v>17</v>
      </c>
      <c r="P4" s="78" t="s">
        <v>37</v>
      </c>
      <c r="Q4" s="78" t="s">
        <v>21</v>
      </c>
      <c r="R4" s="78" t="s">
        <v>22</v>
      </c>
      <c r="S4" s="78" t="s">
        <v>75</v>
      </c>
      <c r="T4" s="78" t="s">
        <v>76</v>
      </c>
    </row>
    <row r="5" spans="1:20" ht="12.5" customHeight="1">
      <c r="A5" s="80" t="s">
        <v>105</v>
      </c>
      <c r="B5" s="81"/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25" customHeight="1">
      <c r="A6" s="86">
        <v>43921</v>
      </c>
      <c r="B6" s="87" t="s">
        <v>109</v>
      </c>
      <c r="C6" s="88" t="s">
        <v>116</v>
      </c>
      <c r="D6" s="89">
        <v>3.12</v>
      </c>
      <c r="E6" s="90"/>
      <c r="F6" s="91">
        <f t="shared" ref="F6:F13" si="0">D6</f>
        <v>3.12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t="12.25" customHeight="1">
      <c r="A7" s="86">
        <v>43889</v>
      </c>
      <c r="B7" s="87" t="s">
        <v>109</v>
      </c>
      <c r="C7" s="88" t="s">
        <v>197</v>
      </c>
      <c r="D7" s="89">
        <v>3.13</v>
      </c>
      <c r="E7" s="90"/>
      <c r="F7" s="91">
        <f t="shared" si="0"/>
        <v>3.13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t="12.25" customHeight="1">
      <c r="A8" s="86">
        <v>43861</v>
      </c>
      <c r="B8" s="87" t="s">
        <v>109</v>
      </c>
      <c r="C8" s="88" t="s">
        <v>198</v>
      </c>
      <c r="D8" s="89">
        <v>3.56</v>
      </c>
      <c r="E8" s="90"/>
      <c r="F8" s="91">
        <f t="shared" si="0"/>
        <v>3.56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2.25" customHeight="1">
      <c r="A9" s="86">
        <v>43830</v>
      </c>
      <c r="B9" s="87" t="s">
        <v>109</v>
      </c>
      <c r="C9" s="88" t="s">
        <v>119</v>
      </c>
      <c r="D9" s="89">
        <v>3.68</v>
      </c>
      <c r="E9" s="90"/>
      <c r="F9" s="91">
        <f t="shared" si="0"/>
        <v>3.68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2.25" customHeight="1">
      <c r="A10" s="86">
        <v>43798</v>
      </c>
      <c r="B10" s="87" t="s">
        <v>109</v>
      </c>
      <c r="C10" s="88" t="s">
        <v>199</v>
      </c>
      <c r="D10" s="89">
        <v>3.45</v>
      </c>
      <c r="E10" s="90"/>
      <c r="F10" s="91">
        <f t="shared" si="0"/>
        <v>3.45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2.25" customHeight="1">
      <c r="A11" s="86">
        <v>43769</v>
      </c>
      <c r="B11" s="87" t="s">
        <v>109</v>
      </c>
      <c r="C11" s="88" t="s">
        <v>200</v>
      </c>
      <c r="D11" s="89">
        <v>3.7</v>
      </c>
      <c r="E11" s="90"/>
      <c r="F11" s="91">
        <f t="shared" si="0"/>
        <v>3.7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12.25" customHeight="1">
      <c r="A12" s="86">
        <v>43738</v>
      </c>
      <c r="B12" s="87" t="s">
        <v>109</v>
      </c>
      <c r="C12" s="88" t="s">
        <v>110</v>
      </c>
      <c r="D12" s="89">
        <v>3.69</v>
      </c>
      <c r="E12" s="90"/>
      <c r="F12" s="91">
        <f t="shared" si="0"/>
        <v>3.69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12.25" customHeight="1">
      <c r="A13" s="86">
        <v>43707</v>
      </c>
      <c r="B13" s="87" t="s">
        <v>109</v>
      </c>
      <c r="C13" s="88" t="s">
        <v>201</v>
      </c>
      <c r="D13" s="89">
        <v>2.85</v>
      </c>
      <c r="E13" s="90"/>
      <c r="F13" s="91">
        <f t="shared" si="0"/>
        <v>2.85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2.25" customHeight="1">
      <c r="A14" s="86">
        <v>43699</v>
      </c>
      <c r="B14" s="87" t="s">
        <v>124</v>
      </c>
      <c r="C14" s="88" t="s">
        <v>202</v>
      </c>
      <c r="D14" s="92">
        <v>6000</v>
      </c>
      <c r="E14" s="93"/>
      <c r="F14" s="94"/>
      <c r="G14" s="94">
        <f>D14</f>
        <v>6000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2.25" customHeight="1">
      <c r="A15" s="86">
        <v>43677</v>
      </c>
      <c r="B15" s="87" t="s">
        <v>109</v>
      </c>
      <c r="C15" s="88" t="s">
        <v>112</v>
      </c>
      <c r="D15" s="89">
        <v>2.85</v>
      </c>
      <c r="E15" s="90"/>
      <c r="F15" s="91">
        <f>D15</f>
        <v>2.85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12.25" customHeight="1">
      <c r="A16" s="86">
        <v>43644</v>
      </c>
      <c r="B16" s="87" t="s">
        <v>109</v>
      </c>
      <c r="C16" s="88" t="s">
        <v>203</v>
      </c>
      <c r="D16" s="89">
        <v>2.41</v>
      </c>
      <c r="E16" s="90"/>
      <c r="F16" s="91">
        <f>D16</f>
        <v>2.41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ht="12.25" customHeight="1">
      <c r="A17" s="86">
        <v>43616</v>
      </c>
      <c r="B17" s="87" t="s">
        <v>109</v>
      </c>
      <c r="C17" s="88" t="s">
        <v>204</v>
      </c>
      <c r="D17" s="89">
        <v>2.44</v>
      </c>
      <c r="E17" s="90"/>
      <c r="F17" s="91">
        <f>D17</f>
        <v>2.44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ht="12.25" customHeight="1">
      <c r="A18" s="86">
        <v>43599</v>
      </c>
      <c r="B18" s="87" t="s">
        <v>124</v>
      </c>
      <c r="C18" s="88" t="s">
        <v>202</v>
      </c>
      <c r="D18" s="92">
        <v>3000</v>
      </c>
      <c r="E18" s="93"/>
      <c r="F18" s="94"/>
      <c r="G18" s="94">
        <f>D18</f>
        <v>3000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ht="12.25" customHeight="1">
      <c r="A19" s="86">
        <v>43585</v>
      </c>
      <c r="B19" s="87" t="s">
        <v>109</v>
      </c>
      <c r="C19" s="88" t="s">
        <v>115</v>
      </c>
      <c r="D19" s="89">
        <v>2.23</v>
      </c>
      <c r="E19" s="90"/>
      <c r="F19" s="91">
        <f>D19</f>
        <v>2.23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ht="12.25" customHeight="1">
      <c r="A20" s="95" t="s">
        <v>106</v>
      </c>
      <c r="B20" s="87"/>
      <c r="C20" s="88"/>
      <c r="D20" s="92"/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4.25" customHeight="1">
      <c r="A21" s="86">
        <v>43913</v>
      </c>
      <c r="B21" s="87" t="s">
        <v>122</v>
      </c>
      <c r="C21" s="88" t="s">
        <v>123</v>
      </c>
      <c r="D21" s="92">
        <v>52.6</v>
      </c>
      <c r="E21" s="93"/>
      <c r="F21" s="94"/>
      <c r="G21" s="94"/>
      <c r="H21" s="94"/>
      <c r="I21" s="94"/>
      <c r="J21" s="94"/>
      <c r="K21" s="8"/>
      <c r="L21" s="94"/>
      <c r="M21" s="94"/>
      <c r="N21" s="94">
        <v>52.6</v>
      </c>
      <c r="O21" s="94"/>
      <c r="P21" s="94"/>
      <c r="Q21" s="94"/>
      <c r="R21" s="94"/>
      <c r="S21" s="94"/>
      <c r="T21" s="94"/>
    </row>
    <row r="22" spans="1:20" ht="12.25" customHeight="1">
      <c r="A22" s="86">
        <v>43913</v>
      </c>
      <c r="B22" s="87" t="s">
        <v>122</v>
      </c>
      <c r="C22" s="88" t="s">
        <v>123</v>
      </c>
      <c r="D22" s="92">
        <v>15</v>
      </c>
      <c r="E22" s="93"/>
      <c r="F22" s="94"/>
      <c r="G22" s="94"/>
      <c r="H22" s="94"/>
      <c r="I22" s="94"/>
      <c r="J22" s="94"/>
      <c r="K22" s="94">
        <f>15</f>
        <v>15</v>
      </c>
      <c r="L22" s="94"/>
      <c r="M22" s="94"/>
      <c r="N22" s="94"/>
      <c r="O22" s="94"/>
      <c r="P22" s="94"/>
      <c r="Q22" s="94"/>
      <c r="R22" s="94"/>
      <c r="S22" s="94"/>
      <c r="T22" s="94"/>
    </row>
    <row r="23" spans="1:20" ht="12.25" customHeight="1">
      <c r="A23" s="86">
        <v>43906</v>
      </c>
      <c r="B23" s="87" t="s">
        <v>124</v>
      </c>
      <c r="C23" s="88" t="s">
        <v>134</v>
      </c>
      <c r="D23" s="92">
        <v>1000</v>
      </c>
      <c r="E23" s="93"/>
      <c r="F23" s="94"/>
      <c r="G23" s="94">
        <f>D23</f>
        <v>1000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2.25" customHeight="1">
      <c r="A24" s="86">
        <v>43901</v>
      </c>
      <c r="B24" s="87" t="s">
        <v>122</v>
      </c>
      <c r="C24" s="88" t="s">
        <v>205</v>
      </c>
      <c r="D24" s="92">
        <v>17.68</v>
      </c>
      <c r="E24" s="93"/>
      <c r="F24" s="94"/>
      <c r="G24" s="94"/>
      <c r="H24" s="94">
        <f>D24</f>
        <v>17.68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12.25" customHeight="1">
      <c r="A25" s="86">
        <v>43900</v>
      </c>
      <c r="B25" s="87" t="s">
        <v>122</v>
      </c>
      <c r="C25" s="88" t="s">
        <v>123</v>
      </c>
      <c r="D25" s="92">
        <v>134.41</v>
      </c>
      <c r="E25" s="98" t="s">
        <v>82</v>
      </c>
      <c r="F25" s="94"/>
      <c r="G25" s="94"/>
      <c r="H25" s="94"/>
      <c r="I25" s="94"/>
      <c r="J25" s="94"/>
      <c r="K25" s="94"/>
      <c r="L25" s="94"/>
      <c r="M25" s="94"/>
      <c r="N25" s="94">
        <f>$D25</f>
        <v>134.41</v>
      </c>
      <c r="O25" s="94"/>
      <c r="P25" s="94"/>
      <c r="Q25" s="94"/>
      <c r="R25" s="94"/>
      <c r="S25" s="94"/>
      <c r="T25" s="94"/>
    </row>
    <row r="26" spans="1:20" ht="12.25" customHeight="1">
      <c r="A26" s="86">
        <v>43900</v>
      </c>
      <c r="B26" s="87" t="s">
        <v>122</v>
      </c>
      <c r="C26" s="88" t="s">
        <v>123</v>
      </c>
      <c r="D26" s="92">
        <v>16.5</v>
      </c>
      <c r="E26" s="93"/>
      <c r="F26" s="94"/>
      <c r="G26" s="94"/>
      <c r="H26" s="94"/>
      <c r="I26" s="94"/>
      <c r="J26" s="94"/>
      <c r="K26" s="94">
        <f>$D26</f>
        <v>16.5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2.25" customHeight="1">
      <c r="A27" s="86">
        <v>43896</v>
      </c>
      <c r="B27" s="87" t="s">
        <v>124</v>
      </c>
      <c r="C27" s="88" t="s">
        <v>134</v>
      </c>
      <c r="D27" s="92">
        <v>1800</v>
      </c>
      <c r="E27" s="93"/>
      <c r="F27" s="94"/>
      <c r="G27" s="94">
        <f>D27</f>
        <v>1800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2.25" customHeight="1">
      <c r="A28" s="86">
        <v>43887</v>
      </c>
      <c r="B28" s="87" t="s">
        <v>132</v>
      </c>
      <c r="C28" s="88" t="s">
        <v>206</v>
      </c>
      <c r="D28" s="92">
        <v>385</v>
      </c>
      <c r="E28" s="97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>
        <f>$D28</f>
        <v>385</v>
      </c>
      <c r="R28" s="94"/>
      <c r="S28" s="94"/>
      <c r="T28" s="94"/>
    </row>
    <row r="29" spans="1:20" ht="12.25" customHeight="1">
      <c r="A29" s="86">
        <v>43885</v>
      </c>
      <c r="B29" s="87" t="s">
        <v>124</v>
      </c>
      <c r="C29" s="88" t="s">
        <v>134</v>
      </c>
      <c r="D29" s="92">
        <v>500</v>
      </c>
      <c r="E29" s="93"/>
      <c r="F29" s="94"/>
      <c r="G29" s="94">
        <f>D29</f>
        <v>500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2.25" customHeight="1">
      <c r="A30" s="86">
        <v>43871</v>
      </c>
      <c r="B30" s="87" t="s">
        <v>124</v>
      </c>
      <c r="C30" s="88" t="s">
        <v>134</v>
      </c>
      <c r="D30" s="92">
        <v>800</v>
      </c>
      <c r="E30" s="93"/>
      <c r="F30" s="94"/>
      <c r="G30" s="94">
        <f>D30</f>
        <v>800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ht="12.25" customHeight="1">
      <c r="A31" s="86">
        <v>43858</v>
      </c>
      <c r="B31" s="87" t="s">
        <v>122</v>
      </c>
      <c r="C31" s="88" t="s">
        <v>123</v>
      </c>
      <c r="D31" s="92">
        <v>80.84</v>
      </c>
      <c r="E31" s="98" t="s">
        <v>83</v>
      </c>
      <c r="F31" s="94"/>
      <c r="G31" s="94"/>
      <c r="H31" s="94"/>
      <c r="I31" s="94"/>
      <c r="J31" s="94"/>
      <c r="K31" s="94"/>
      <c r="L31" s="94"/>
      <c r="M31" s="94"/>
      <c r="N31" s="94">
        <f>$D31</f>
        <v>80.84</v>
      </c>
      <c r="O31" s="94"/>
      <c r="P31" s="94"/>
      <c r="Q31" s="94"/>
      <c r="R31" s="94"/>
      <c r="S31" s="94"/>
      <c r="T31" s="94"/>
    </row>
    <row r="32" spans="1:20" ht="14.25" customHeight="1">
      <c r="A32" s="86">
        <v>43838</v>
      </c>
      <c r="B32" s="87" t="s">
        <v>132</v>
      </c>
      <c r="C32" s="88" t="s">
        <v>207</v>
      </c>
      <c r="D32" s="92">
        <v>31.5</v>
      </c>
      <c r="E32" s="93"/>
      <c r="F32" s="94"/>
      <c r="G32" s="94"/>
      <c r="H32" s="8"/>
      <c r="I32" s="94"/>
      <c r="J32" s="94">
        <f>$D32</f>
        <v>31.5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2.25" customHeight="1">
      <c r="A33" s="86">
        <v>43832</v>
      </c>
      <c r="B33" s="87" t="s">
        <v>122</v>
      </c>
      <c r="C33" s="88" t="s">
        <v>123</v>
      </c>
      <c r="D33" s="92">
        <v>30.5</v>
      </c>
      <c r="E33" s="93"/>
      <c r="F33" s="94"/>
      <c r="G33" s="94"/>
      <c r="H33" s="94"/>
      <c r="I33" s="94"/>
      <c r="J33" s="94">
        <f>$D33</f>
        <v>30.5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25" customHeight="1">
      <c r="A34" s="86">
        <v>43817</v>
      </c>
      <c r="B34" s="87" t="s">
        <v>132</v>
      </c>
      <c r="C34" s="88" t="s">
        <v>133</v>
      </c>
      <c r="D34" s="92">
        <v>12</v>
      </c>
      <c r="E34" s="98" t="s">
        <v>208</v>
      </c>
      <c r="F34" s="94"/>
      <c r="G34" s="94"/>
      <c r="H34" s="94">
        <f>$D34</f>
        <v>12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ht="12.25" customHeight="1">
      <c r="A35" s="86">
        <v>43812</v>
      </c>
      <c r="B35" s="87" t="s">
        <v>122</v>
      </c>
      <c r="C35" s="88" t="s">
        <v>209</v>
      </c>
      <c r="D35" s="92">
        <v>12</v>
      </c>
      <c r="E35" s="98" t="s">
        <v>210</v>
      </c>
      <c r="F35" s="94"/>
      <c r="G35" s="94"/>
      <c r="H35" s="94"/>
      <c r="I35" s="94"/>
      <c r="J35" s="94"/>
      <c r="K35" s="94">
        <f>$D35</f>
        <v>12</v>
      </c>
      <c r="L35" s="94"/>
      <c r="M35" s="94"/>
      <c r="N35" s="94"/>
      <c r="O35" s="94"/>
      <c r="P35" s="94"/>
      <c r="Q35" s="94"/>
      <c r="R35" s="94"/>
      <c r="S35" s="94"/>
      <c r="T35" s="94"/>
    </row>
    <row r="36" spans="1:20" ht="12.25" customHeight="1">
      <c r="A36" s="86">
        <v>43809</v>
      </c>
      <c r="B36" s="87" t="s">
        <v>122</v>
      </c>
      <c r="C36" s="88" t="s">
        <v>127</v>
      </c>
      <c r="D36" s="92">
        <v>50</v>
      </c>
      <c r="E36" s="93"/>
      <c r="F36" s="94"/>
      <c r="G36" s="94"/>
      <c r="H36" s="94"/>
      <c r="I36" s="94">
        <f>D36</f>
        <v>50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ht="12.25" customHeight="1">
      <c r="A37" s="86">
        <v>43802</v>
      </c>
      <c r="B37" s="87" t="s">
        <v>122</v>
      </c>
      <c r="C37" s="88" t="s">
        <v>123</v>
      </c>
      <c r="D37" s="92">
        <v>64</v>
      </c>
      <c r="E37" s="93"/>
      <c r="F37" s="94"/>
      <c r="G37" s="94"/>
      <c r="H37" s="94"/>
      <c r="I37" s="94"/>
      <c r="J37" s="94"/>
      <c r="K37" s="94"/>
      <c r="L37" s="94"/>
      <c r="M37" s="94"/>
      <c r="N37" s="94">
        <f>$D37</f>
        <v>64</v>
      </c>
      <c r="O37" s="94"/>
      <c r="P37" s="94"/>
      <c r="Q37" s="94"/>
      <c r="R37" s="94"/>
      <c r="S37" s="94"/>
      <c r="T37" s="94"/>
    </row>
    <row r="38" spans="1:20" ht="12.25" customHeight="1">
      <c r="A38" s="86">
        <v>43802</v>
      </c>
      <c r="B38" s="87" t="s">
        <v>122</v>
      </c>
      <c r="C38" s="88" t="s">
        <v>123</v>
      </c>
      <c r="D38" s="92">
        <v>42</v>
      </c>
      <c r="E38" s="93"/>
      <c r="F38" s="94"/>
      <c r="G38" s="94"/>
      <c r="H38" s="94"/>
      <c r="I38" s="94"/>
      <c r="J38" s="94"/>
      <c r="K38" s="94">
        <f>$D38</f>
        <v>42</v>
      </c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2.25" customHeight="1">
      <c r="A39" s="86">
        <v>43802</v>
      </c>
      <c r="B39" s="87" t="s">
        <v>122</v>
      </c>
      <c r="C39" s="88" t="s">
        <v>123</v>
      </c>
      <c r="D39" s="92">
        <v>36</v>
      </c>
      <c r="E39" s="93"/>
      <c r="F39" s="94"/>
      <c r="G39" s="94"/>
      <c r="H39" s="94">
        <f>$D39</f>
        <v>36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ht="12.25" customHeight="1">
      <c r="A40" s="86">
        <v>43796</v>
      </c>
      <c r="B40" s="87" t="s">
        <v>124</v>
      </c>
      <c r="C40" s="88" t="s">
        <v>134</v>
      </c>
      <c r="D40" s="92">
        <v>800</v>
      </c>
      <c r="E40" s="93"/>
      <c r="F40" s="94"/>
      <c r="G40" s="94">
        <f>D40</f>
        <v>800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12.25" customHeight="1">
      <c r="A41" s="86">
        <v>43774</v>
      </c>
      <c r="B41" s="87" t="s">
        <v>122</v>
      </c>
      <c r="C41" s="88" t="s">
        <v>123</v>
      </c>
      <c r="D41" s="92">
        <v>58</v>
      </c>
      <c r="E41" s="93"/>
      <c r="F41" s="94"/>
      <c r="G41" s="94"/>
      <c r="H41" s="94"/>
      <c r="I41" s="94"/>
      <c r="J41" s="94"/>
      <c r="K41" s="94">
        <f>$D41</f>
        <v>58</v>
      </c>
      <c r="L41" s="94"/>
      <c r="M41" s="94"/>
      <c r="N41" s="94"/>
      <c r="O41" s="94"/>
      <c r="P41" s="94"/>
      <c r="Q41" s="94"/>
      <c r="R41" s="94"/>
      <c r="S41" s="94"/>
      <c r="T41" s="94"/>
    </row>
    <row r="42" spans="1:20" ht="12.25" customHeight="1">
      <c r="A42" s="86">
        <v>43774</v>
      </c>
      <c r="B42" s="87" t="s">
        <v>122</v>
      </c>
      <c r="C42" s="88" t="s">
        <v>123</v>
      </c>
      <c r="D42" s="92">
        <v>248</v>
      </c>
      <c r="E42" s="93"/>
      <c r="F42" s="94"/>
      <c r="G42" s="94"/>
      <c r="H42" s="94"/>
      <c r="I42" s="94"/>
      <c r="J42" s="94"/>
      <c r="K42" s="94"/>
      <c r="L42" s="94"/>
      <c r="M42" s="94"/>
      <c r="N42" s="94">
        <f>$D42</f>
        <v>248</v>
      </c>
      <c r="O42" s="94"/>
      <c r="P42" s="94"/>
      <c r="Q42" s="94"/>
      <c r="R42" s="94"/>
      <c r="S42" s="94"/>
      <c r="T42" s="94"/>
    </row>
    <row r="43" spans="1:20" ht="12.25" customHeight="1">
      <c r="A43" s="86">
        <v>43773</v>
      </c>
      <c r="B43" s="87" t="s">
        <v>122</v>
      </c>
      <c r="C43" s="88" t="s">
        <v>205</v>
      </c>
      <c r="D43" s="92">
        <v>17.68</v>
      </c>
      <c r="E43" s="93"/>
      <c r="F43" s="94"/>
      <c r="G43" s="94"/>
      <c r="H43" s="94">
        <f>D43</f>
        <v>17.68</v>
      </c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ht="12.25" customHeight="1">
      <c r="A44" s="86">
        <v>43762</v>
      </c>
      <c r="B44" s="87" t="s">
        <v>122</v>
      </c>
      <c r="C44" s="88" t="s">
        <v>205</v>
      </c>
      <c r="D44" s="92">
        <v>9.82</v>
      </c>
      <c r="E44" s="93"/>
      <c r="F44" s="94"/>
      <c r="G44" s="94"/>
      <c r="H44" s="94">
        <f>D44</f>
        <v>9.82</v>
      </c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ht="12.25" customHeight="1">
      <c r="A45" s="86">
        <v>43756</v>
      </c>
      <c r="B45" s="87" t="s">
        <v>122</v>
      </c>
      <c r="C45" s="88" t="s">
        <v>205</v>
      </c>
      <c r="D45" s="92">
        <v>17.68</v>
      </c>
      <c r="E45" s="93"/>
      <c r="F45" s="94"/>
      <c r="G45" s="94"/>
      <c r="H45" s="94">
        <f>D45</f>
        <v>17.68</v>
      </c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ht="12.25" customHeight="1">
      <c r="A46" s="86">
        <v>43718</v>
      </c>
      <c r="B46" s="87" t="s">
        <v>122</v>
      </c>
      <c r="C46" s="88" t="s">
        <v>205</v>
      </c>
      <c r="D46" s="92">
        <v>11.79</v>
      </c>
      <c r="E46" s="93"/>
      <c r="F46" s="94"/>
      <c r="G46" s="94"/>
      <c r="H46" s="94">
        <f>D46</f>
        <v>11.79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2.25" customHeight="1">
      <c r="A47" s="86">
        <v>43712</v>
      </c>
      <c r="B47" s="87" t="s">
        <v>122</v>
      </c>
      <c r="C47" s="88" t="s">
        <v>205</v>
      </c>
      <c r="D47" s="92">
        <v>9.82</v>
      </c>
      <c r="E47" s="93"/>
      <c r="F47" s="94"/>
      <c r="G47" s="94"/>
      <c r="H47" s="94">
        <f>D47</f>
        <v>9.82</v>
      </c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ht="12.25" customHeight="1">
      <c r="A48" s="86">
        <v>43712</v>
      </c>
      <c r="B48" s="87" t="s">
        <v>124</v>
      </c>
      <c r="C48" s="88" t="s">
        <v>211</v>
      </c>
      <c r="D48" s="92">
        <v>54</v>
      </c>
      <c r="E48" s="93"/>
      <c r="F48" s="94"/>
      <c r="G48" s="94"/>
      <c r="H48" s="94"/>
      <c r="I48" s="94"/>
      <c r="J48" s="94"/>
      <c r="K48" s="94">
        <f>$D48</f>
        <v>54</v>
      </c>
      <c r="L48" s="94"/>
      <c r="M48" s="94"/>
      <c r="N48" s="94"/>
      <c r="O48" s="94"/>
      <c r="P48" s="94"/>
      <c r="Q48" s="94"/>
      <c r="R48" s="94"/>
      <c r="S48" s="94"/>
      <c r="T48" s="94"/>
    </row>
    <row r="49" spans="1:20" ht="12.25" customHeight="1">
      <c r="A49" s="86">
        <v>43710</v>
      </c>
      <c r="B49" s="87" t="s">
        <v>122</v>
      </c>
      <c r="C49" s="88" t="s">
        <v>123</v>
      </c>
      <c r="D49" s="92">
        <v>280</v>
      </c>
      <c r="E49" s="93"/>
      <c r="F49" s="94"/>
      <c r="G49" s="94"/>
      <c r="H49" s="94"/>
      <c r="I49" s="94"/>
      <c r="J49" s="94"/>
      <c r="K49" s="94"/>
      <c r="L49" s="94"/>
      <c r="M49" s="94">
        <f>$D49</f>
        <v>280</v>
      </c>
      <c r="N49" s="94"/>
      <c r="O49" s="94"/>
      <c r="P49" s="94"/>
      <c r="Q49" s="94"/>
      <c r="R49" s="94"/>
      <c r="S49" s="94"/>
      <c r="T49" s="94"/>
    </row>
    <row r="50" spans="1:20" ht="12.25" customHeight="1">
      <c r="A50" s="86">
        <v>43691</v>
      </c>
      <c r="B50" s="87" t="s">
        <v>122</v>
      </c>
      <c r="C50" s="88" t="s">
        <v>128</v>
      </c>
      <c r="D50" s="92">
        <v>6000</v>
      </c>
      <c r="E50" s="98" t="s">
        <v>212</v>
      </c>
      <c r="F50" s="94"/>
      <c r="G50" s="94"/>
      <c r="H50" s="94"/>
      <c r="I50" s="94"/>
      <c r="J50" s="94"/>
      <c r="K50" s="94"/>
      <c r="L50" s="94">
        <f>D50</f>
        <v>6000</v>
      </c>
      <c r="M50" s="94"/>
      <c r="N50" s="94"/>
      <c r="O50" s="94"/>
      <c r="P50" s="94"/>
      <c r="Q50" s="94"/>
      <c r="R50" s="94"/>
      <c r="S50" s="94"/>
      <c r="T50" s="94"/>
    </row>
    <row r="51" spans="1:20" ht="12.25" customHeight="1">
      <c r="A51" s="86">
        <v>43690</v>
      </c>
      <c r="B51" s="87" t="s">
        <v>122</v>
      </c>
      <c r="C51" s="88" t="s">
        <v>123</v>
      </c>
      <c r="D51" s="92">
        <v>43.34</v>
      </c>
      <c r="E51" s="98" t="s">
        <v>85</v>
      </c>
      <c r="F51" s="94"/>
      <c r="G51" s="94"/>
      <c r="H51" s="94"/>
      <c r="I51" s="94"/>
      <c r="J51" s="94"/>
      <c r="K51" s="94">
        <f>$D51</f>
        <v>43.34</v>
      </c>
      <c r="L51" s="94"/>
      <c r="M51" s="94"/>
      <c r="N51" s="94"/>
      <c r="O51" s="94"/>
      <c r="P51" s="94"/>
      <c r="Q51" s="94"/>
      <c r="R51" s="94"/>
      <c r="S51" s="94"/>
      <c r="T51" s="94"/>
    </row>
    <row r="52" spans="1:20" ht="12.25" customHeight="1">
      <c r="A52" s="86">
        <v>43690</v>
      </c>
      <c r="B52" s="87" t="s">
        <v>122</v>
      </c>
      <c r="C52" s="88" t="s">
        <v>123</v>
      </c>
      <c r="D52" s="92">
        <v>127</v>
      </c>
      <c r="E52" s="93"/>
      <c r="F52" s="94"/>
      <c r="G52" s="94"/>
      <c r="H52" s="94"/>
      <c r="I52" s="94"/>
      <c r="J52" s="94"/>
      <c r="K52" s="94"/>
      <c r="L52" s="94"/>
      <c r="M52" s="94"/>
      <c r="N52" s="94">
        <f>$D52</f>
        <v>127</v>
      </c>
      <c r="O52" s="94"/>
      <c r="P52" s="94"/>
      <c r="Q52" s="94"/>
      <c r="R52" s="94"/>
      <c r="S52" s="94"/>
      <c r="T52" s="94"/>
    </row>
    <row r="53" spans="1:20" ht="12.25" customHeight="1">
      <c r="A53" s="86">
        <v>43690</v>
      </c>
      <c r="B53" s="87" t="s">
        <v>122</v>
      </c>
      <c r="C53" s="88" t="s">
        <v>123</v>
      </c>
      <c r="D53" s="92">
        <v>6</v>
      </c>
      <c r="E53" s="93"/>
      <c r="F53" s="94"/>
      <c r="G53" s="94"/>
      <c r="H53" s="94">
        <f>$D53</f>
        <v>6</v>
      </c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ht="12.25" customHeight="1">
      <c r="A54" s="86">
        <v>43677</v>
      </c>
      <c r="B54" s="87" t="s">
        <v>122</v>
      </c>
      <c r="C54" s="88" t="s">
        <v>205</v>
      </c>
      <c r="D54" s="92">
        <v>39.29</v>
      </c>
      <c r="E54" s="93"/>
      <c r="F54" s="94"/>
      <c r="G54" s="94"/>
      <c r="H54" s="94">
        <f>D54</f>
        <v>39.29</v>
      </c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0" ht="12.25" customHeight="1">
      <c r="A55" s="86">
        <v>43669</v>
      </c>
      <c r="B55" s="87" t="s">
        <v>122</v>
      </c>
      <c r="C55" s="88" t="s">
        <v>213</v>
      </c>
      <c r="D55" s="92">
        <v>65</v>
      </c>
      <c r="E55" s="98" t="s">
        <v>214</v>
      </c>
      <c r="F55" s="94"/>
      <c r="G55" s="94"/>
      <c r="H55" s="94"/>
      <c r="I55" s="94"/>
      <c r="J55" s="94"/>
      <c r="K55" s="94">
        <f>$D55</f>
        <v>65</v>
      </c>
      <c r="L55" s="94"/>
      <c r="M55" s="94"/>
      <c r="N55" s="94"/>
      <c r="O55" s="94"/>
      <c r="P55" s="94"/>
      <c r="Q55" s="94"/>
      <c r="R55" s="94"/>
      <c r="S55" s="94"/>
      <c r="T55" s="94"/>
    </row>
    <row r="56" spans="1:20" ht="12.25" customHeight="1">
      <c r="A56" s="86">
        <v>43668</v>
      </c>
      <c r="B56" s="87" t="s">
        <v>122</v>
      </c>
      <c r="C56" s="88" t="s">
        <v>123</v>
      </c>
      <c r="D56" s="92">
        <v>93</v>
      </c>
      <c r="E56" s="93"/>
      <c r="F56" s="94"/>
      <c r="G56" s="94"/>
      <c r="H56" s="94">
        <f>$D56</f>
        <v>93</v>
      </c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0" ht="12.25" customHeight="1">
      <c r="A57" s="86">
        <v>43668</v>
      </c>
      <c r="B57" s="87" t="s">
        <v>122</v>
      </c>
      <c r="C57" s="88" t="s">
        <v>123</v>
      </c>
      <c r="D57" s="92">
        <v>64</v>
      </c>
      <c r="E57" s="93"/>
      <c r="F57" s="94"/>
      <c r="G57" s="94"/>
      <c r="H57" s="94"/>
      <c r="I57" s="94"/>
      <c r="J57" s="94"/>
      <c r="K57" s="94">
        <f>$D57</f>
        <v>64</v>
      </c>
      <c r="L57" s="94"/>
      <c r="M57" s="94"/>
      <c r="N57" s="94"/>
      <c r="O57" s="94"/>
      <c r="P57" s="94"/>
      <c r="Q57" s="94"/>
      <c r="R57" s="94"/>
      <c r="S57" s="94"/>
      <c r="T57" s="94"/>
    </row>
    <row r="58" spans="1:20" ht="12.25" customHeight="1">
      <c r="A58" s="86">
        <v>43644</v>
      </c>
      <c r="B58" s="87" t="s">
        <v>122</v>
      </c>
      <c r="C58" s="88" t="s">
        <v>215</v>
      </c>
      <c r="D58" s="92">
        <v>77</v>
      </c>
      <c r="E58" s="98" t="s">
        <v>214</v>
      </c>
      <c r="F58" s="94"/>
      <c r="G58" s="94"/>
      <c r="H58" s="94"/>
      <c r="I58" s="94"/>
      <c r="J58" s="94"/>
      <c r="K58" s="94">
        <f>$D58</f>
        <v>77</v>
      </c>
      <c r="L58" s="94"/>
      <c r="M58" s="94"/>
      <c r="N58" s="94"/>
      <c r="O58" s="94"/>
      <c r="P58" s="94"/>
      <c r="Q58" s="94"/>
      <c r="R58" s="94"/>
      <c r="S58" s="94"/>
      <c r="T58" s="94"/>
    </row>
    <row r="59" spans="1:20" ht="12.25" customHeight="1">
      <c r="A59" s="86">
        <v>43640</v>
      </c>
      <c r="B59" s="87" t="s">
        <v>122</v>
      </c>
      <c r="C59" s="88" t="s">
        <v>216</v>
      </c>
      <c r="D59" s="92">
        <v>65</v>
      </c>
      <c r="E59" s="98" t="s">
        <v>210</v>
      </c>
      <c r="F59" s="94"/>
      <c r="G59" s="94"/>
      <c r="H59" s="94"/>
      <c r="I59" s="94"/>
      <c r="J59" s="94"/>
      <c r="K59" s="94">
        <f>$D59</f>
        <v>65</v>
      </c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2.25" customHeight="1">
      <c r="A60" s="86">
        <v>43627</v>
      </c>
      <c r="B60" s="87" t="s">
        <v>122</v>
      </c>
      <c r="C60" s="88" t="s">
        <v>123</v>
      </c>
      <c r="D60" s="92">
        <v>637.6</v>
      </c>
      <c r="E60" s="98" t="s">
        <v>217</v>
      </c>
      <c r="F60" s="94"/>
      <c r="G60" s="94"/>
      <c r="H60" s="94"/>
      <c r="I60" s="94"/>
      <c r="J60" s="94"/>
      <c r="K60" s="94"/>
      <c r="L60" s="94"/>
      <c r="M60" s="94"/>
      <c r="N60" s="94"/>
      <c r="O60" s="94">
        <f>$D60</f>
        <v>637.6</v>
      </c>
      <c r="P60" s="94"/>
      <c r="Q60" s="94"/>
      <c r="R60" s="94"/>
      <c r="S60" s="94"/>
      <c r="T60" s="94"/>
    </row>
    <row r="61" spans="1:20" ht="14.25" customHeight="1">
      <c r="A61" s="86">
        <v>43627</v>
      </c>
      <c r="B61" s="87" t="s">
        <v>122</v>
      </c>
      <c r="C61" s="88" t="s">
        <v>123</v>
      </c>
      <c r="D61" s="92">
        <v>130</v>
      </c>
      <c r="E61" s="10"/>
      <c r="F61" s="94"/>
      <c r="G61" s="94"/>
      <c r="H61" s="94"/>
      <c r="I61" s="94"/>
      <c r="J61" s="94"/>
      <c r="K61" s="94"/>
      <c r="L61" s="94"/>
      <c r="M61" s="94"/>
      <c r="N61" s="94">
        <f>$D61</f>
        <v>130</v>
      </c>
      <c r="O61" s="8"/>
      <c r="P61" s="94"/>
      <c r="Q61" s="94"/>
      <c r="R61" s="94"/>
      <c r="S61" s="94"/>
      <c r="T61" s="94"/>
    </row>
    <row r="62" spans="1:20" ht="12.25" customHeight="1">
      <c r="A62" s="86">
        <v>43627</v>
      </c>
      <c r="B62" s="87" t="s">
        <v>122</v>
      </c>
      <c r="C62" s="88" t="s">
        <v>123</v>
      </c>
      <c r="D62" s="92">
        <v>8</v>
      </c>
      <c r="E62" s="93"/>
      <c r="F62" s="94"/>
      <c r="G62" s="94"/>
      <c r="H62" s="94"/>
      <c r="I62" s="94"/>
      <c r="J62" s="94">
        <f>$D62</f>
        <v>8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ht="12.25" customHeight="1">
      <c r="A63" s="86">
        <v>43627</v>
      </c>
      <c r="B63" s="87" t="s">
        <v>122</v>
      </c>
      <c r="C63" s="88" t="s">
        <v>123</v>
      </c>
      <c r="D63" s="92">
        <v>20</v>
      </c>
      <c r="E63" s="98" t="s">
        <v>10</v>
      </c>
      <c r="F63" s="94"/>
      <c r="G63" s="94"/>
      <c r="H63" s="94"/>
      <c r="I63" s="94"/>
      <c r="J63" s="94"/>
      <c r="K63" s="94"/>
      <c r="L63" s="94"/>
      <c r="M63" s="94"/>
      <c r="N63" s="94"/>
      <c r="O63" s="94">
        <f>$D63</f>
        <v>20</v>
      </c>
      <c r="P63" s="94"/>
      <c r="Q63" s="94"/>
      <c r="R63" s="94"/>
      <c r="S63" s="94"/>
      <c r="T63" s="94"/>
    </row>
    <row r="64" spans="1:20" ht="12.25" customHeight="1">
      <c r="A64" s="86">
        <v>43627</v>
      </c>
      <c r="B64" s="87" t="s">
        <v>122</v>
      </c>
      <c r="C64" s="88" t="s">
        <v>123</v>
      </c>
      <c r="D64" s="92">
        <v>204</v>
      </c>
      <c r="E64" s="98" t="s">
        <v>218</v>
      </c>
      <c r="F64" s="94"/>
      <c r="G64" s="94"/>
      <c r="H64" s="94"/>
      <c r="I64" s="94"/>
      <c r="J64" s="94"/>
      <c r="K64" s="94"/>
      <c r="L64" s="94"/>
      <c r="M64" s="94"/>
      <c r="N64" s="94"/>
      <c r="O64" s="94">
        <f>$D64</f>
        <v>204</v>
      </c>
      <c r="P64" s="94"/>
      <c r="Q64" s="94"/>
      <c r="R64" s="94"/>
      <c r="S64" s="94"/>
      <c r="T64" s="94"/>
    </row>
    <row r="65" spans="1:20" ht="12.25" customHeight="1">
      <c r="A65" s="86">
        <v>43621</v>
      </c>
      <c r="B65" s="87" t="s">
        <v>132</v>
      </c>
      <c r="C65" s="172">
        <v>515003</v>
      </c>
      <c r="D65" s="92">
        <v>98</v>
      </c>
      <c r="E65" s="93"/>
      <c r="F65" s="94"/>
      <c r="G65" s="94"/>
      <c r="H65" s="94">
        <f>$D65</f>
        <v>98</v>
      </c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ht="12.25" customHeight="1">
      <c r="A66" s="86">
        <v>43615</v>
      </c>
      <c r="B66" s="87" t="s">
        <v>122</v>
      </c>
      <c r="C66" s="88" t="s">
        <v>205</v>
      </c>
      <c r="D66" s="92">
        <v>17.68</v>
      </c>
      <c r="E66" s="93"/>
      <c r="F66" s="94"/>
      <c r="G66" s="94"/>
      <c r="H66" s="94">
        <f>D66</f>
        <v>17.68</v>
      </c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1:20" ht="12.25" customHeight="1">
      <c r="A67" s="86">
        <v>43613</v>
      </c>
      <c r="B67" s="87" t="s">
        <v>122</v>
      </c>
      <c r="C67" s="88" t="s">
        <v>123</v>
      </c>
      <c r="D67" s="92">
        <v>100</v>
      </c>
      <c r="E67" s="93"/>
      <c r="F67" s="94"/>
      <c r="G67" s="94"/>
      <c r="H67" s="94">
        <f>$D67</f>
        <v>100</v>
      </c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1:20" ht="12.25" customHeight="1">
      <c r="A68" s="86">
        <v>43613</v>
      </c>
      <c r="B68" s="87" t="s">
        <v>122</v>
      </c>
      <c r="C68" s="88" t="s">
        <v>123</v>
      </c>
      <c r="D68" s="92">
        <v>272</v>
      </c>
      <c r="E68" s="93"/>
      <c r="F68" s="94"/>
      <c r="G68" s="94"/>
      <c r="H68" s="94"/>
      <c r="I68" s="94"/>
      <c r="J68" s="94"/>
      <c r="K68" s="94"/>
      <c r="L68" s="94"/>
      <c r="M68" s="94"/>
      <c r="N68" s="94">
        <f>$D68</f>
        <v>272</v>
      </c>
      <c r="O68" s="94"/>
      <c r="P68" s="94"/>
      <c r="Q68" s="94"/>
      <c r="R68" s="94"/>
      <c r="S68" s="94"/>
      <c r="T68" s="94"/>
    </row>
    <row r="69" spans="1:20" ht="12.25" customHeight="1">
      <c r="A69" s="86">
        <v>43608</v>
      </c>
      <c r="B69" s="87" t="s">
        <v>122</v>
      </c>
      <c r="C69" s="88" t="s">
        <v>205</v>
      </c>
      <c r="D69" s="92">
        <v>17.68</v>
      </c>
      <c r="E69" s="93"/>
      <c r="F69" s="94"/>
      <c r="G69" s="94"/>
      <c r="H69" s="94">
        <f>D69</f>
        <v>17.68</v>
      </c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1:20" ht="12.25" customHeight="1">
      <c r="A70" s="86">
        <v>43605</v>
      </c>
      <c r="B70" s="87" t="s">
        <v>122</v>
      </c>
      <c r="C70" s="88" t="s">
        <v>205</v>
      </c>
      <c r="D70" s="92">
        <v>35.36</v>
      </c>
      <c r="E70" s="93"/>
      <c r="F70" s="94"/>
      <c r="G70" s="94"/>
      <c r="H70" s="94">
        <f>D70</f>
        <v>35.36</v>
      </c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1:20" ht="12.25" customHeight="1">
      <c r="A71" s="86">
        <v>43599</v>
      </c>
      <c r="B71" s="87" t="s">
        <v>122</v>
      </c>
      <c r="C71" s="88" t="s">
        <v>128</v>
      </c>
      <c r="D71" s="92">
        <v>100</v>
      </c>
      <c r="E71" s="98" t="s">
        <v>210</v>
      </c>
      <c r="F71" s="94"/>
      <c r="G71" s="94"/>
      <c r="H71" s="94"/>
      <c r="I71" s="94"/>
      <c r="J71" s="94"/>
      <c r="K71" s="94"/>
      <c r="L71" s="94">
        <f>D71</f>
        <v>100</v>
      </c>
      <c r="M71" s="94"/>
      <c r="N71" s="94"/>
      <c r="O71" s="94"/>
      <c r="P71" s="94"/>
      <c r="Q71" s="94"/>
      <c r="R71" s="94"/>
      <c r="S71" s="94"/>
      <c r="T71" s="94"/>
    </row>
    <row r="72" spans="1:20" ht="12.25" customHeight="1">
      <c r="A72" s="86">
        <v>43587</v>
      </c>
      <c r="B72" s="87" t="s">
        <v>122</v>
      </c>
      <c r="C72" s="88" t="s">
        <v>128</v>
      </c>
      <c r="D72" s="92">
        <v>500</v>
      </c>
      <c r="E72" s="98" t="s">
        <v>210</v>
      </c>
      <c r="F72" s="94"/>
      <c r="G72" s="94"/>
      <c r="H72" s="94"/>
      <c r="I72" s="94"/>
      <c r="J72" s="94"/>
      <c r="K72" s="94"/>
      <c r="L72" s="94">
        <f>D72</f>
        <v>500</v>
      </c>
      <c r="M72" s="94"/>
      <c r="N72" s="94"/>
      <c r="O72" s="94"/>
      <c r="P72" s="94"/>
      <c r="Q72" s="94"/>
      <c r="R72" s="94"/>
      <c r="S72" s="94"/>
      <c r="T72" s="94"/>
    </row>
    <row r="73" spans="1:20" ht="12.25" customHeight="1">
      <c r="A73" s="86">
        <v>43586</v>
      </c>
      <c r="B73" s="87" t="s">
        <v>122</v>
      </c>
      <c r="C73" s="88" t="s">
        <v>219</v>
      </c>
      <c r="D73" s="92">
        <v>10</v>
      </c>
      <c r="E73" s="93"/>
      <c r="F73" s="94"/>
      <c r="G73" s="94"/>
      <c r="H73" s="94"/>
      <c r="I73" s="94">
        <f>D73</f>
        <v>10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ht="12.25" customHeight="1">
      <c r="A74" s="86">
        <v>43585</v>
      </c>
      <c r="B74" s="87" t="s">
        <v>122</v>
      </c>
      <c r="C74" s="88" t="s">
        <v>205</v>
      </c>
      <c r="D74" s="92">
        <v>9.82</v>
      </c>
      <c r="E74" s="93"/>
      <c r="F74" s="94"/>
      <c r="G74" s="94"/>
      <c r="H74" s="94">
        <f>D74</f>
        <v>9.82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1:20" ht="12.25" customHeight="1">
      <c r="A75" s="86">
        <v>43584</v>
      </c>
      <c r="B75" s="87" t="s">
        <v>122</v>
      </c>
      <c r="C75" s="88" t="s">
        <v>123</v>
      </c>
      <c r="D75" s="92">
        <v>122</v>
      </c>
      <c r="E75" s="93"/>
      <c r="F75" s="94"/>
      <c r="G75" s="94"/>
      <c r="H75" s="94">
        <f>$D75</f>
        <v>122</v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1:20" ht="12.25" customHeight="1">
      <c r="A76" s="86">
        <v>43584</v>
      </c>
      <c r="B76" s="87" t="s">
        <v>122</v>
      </c>
      <c r="C76" s="88" t="s">
        <v>123</v>
      </c>
      <c r="D76" s="92">
        <v>245</v>
      </c>
      <c r="E76" s="93"/>
      <c r="F76" s="94"/>
      <c r="G76" s="94"/>
      <c r="H76" s="94"/>
      <c r="I76" s="94"/>
      <c r="J76" s="94"/>
      <c r="K76" s="94"/>
      <c r="L76" s="94"/>
      <c r="M76" s="94">
        <f>$D76</f>
        <v>245</v>
      </c>
      <c r="N76" s="94"/>
      <c r="O76" s="94"/>
      <c r="P76" s="94"/>
      <c r="Q76" s="94"/>
      <c r="R76" s="94"/>
      <c r="S76" s="94"/>
      <c r="T76" s="94"/>
    </row>
    <row r="77" spans="1:20" ht="12.25" customHeight="1">
      <c r="A77" s="86">
        <v>43580</v>
      </c>
      <c r="B77" s="87" t="s">
        <v>122</v>
      </c>
      <c r="C77" s="88" t="s">
        <v>205</v>
      </c>
      <c r="D77" s="92">
        <v>9.82</v>
      </c>
      <c r="E77" s="93"/>
      <c r="F77" s="94"/>
      <c r="G77" s="94"/>
      <c r="H77" s="94">
        <f>D77</f>
        <v>9.82</v>
      </c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1:20" ht="12.25" customHeight="1">
      <c r="A78" s="86">
        <v>43578</v>
      </c>
      <c r="B78" s="87" t="s">
        <v>122</v>
      </c>
      <c r="C78" s="88" t="s">
        <v>205</v>
      </c>
      <c r="D78" s="92">
        <v>202.34</v>
      </c>
      <c r="E78" s="93"/>
      <c r="F78" s="94"/>
      <c r="G78" s="94"/>
      <c r="H78" s="94">
        <f>D78</f>
        <v>202.34</v>
      </c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1:20" ht="12.25" customHeight="1">
      <c r="A79" s="86">
        <v>43565</v>
      </c>
      <c r="B79" s="87" t="s">
        <v>122</v>
      </c>
      <c r="C79" s="88" t="s">
        <v>205</v>
      </c>
      <c r="D79" s="92">
        <v>9.82</v>
      </c>
      <c r="E79" s="93"/>
      <c r="F79" s="94"/>
      <c r="G79" s="94"/>
      <c r="H79" s="94">
        <f>D79</f>
        <v>9.82</v>
      </c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1:20" ht="12.25" customHeight="1">
      <c r="A80" s="86">
        <v>43560</v>
      </c>
      <c r="B80" s="87" t="s">
        <v>122</v>
      </c>
      <c r="C80" s="88" t="s">
        <v>205</v>
      </c>
      <c r="D80" s="92">
        <v>66.790000000000006</v>
      </c>
      <c r="E80" s="93"/>
      <c r="F80" s="94"/>
      <c r="G80" s="94"/>
      <c r="H80" s="94">
        <f>D80</f>
        <v>66.790000000000006</v>
      </c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1:20" ht="14.25" customHeight="1">
      <c r="A81" s="86">
        <v>43556</v>
      </c>
      <c r="B81" s="87" t="s">
        <v>122</v>
      </c>
      <c r="C81" s="88" t="s">
        <v>220</v>
      </c>
      <c r="D81" s="92">
        <v>4132.8100000000004</v>
      </c>
      <c r="E81" s="97"/>
      <c r="F81" s="94"/>
      <c r="G81" s="94">
        <f>$D81</f>
        <v>4132.8100000000004</v>
      </c>
      <c r="H81" s="94"/>
      <c r="I81" s="8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8"/>
    </row>
    <row r="82" spans="1:20" ht="12.25" customHeight="1">
      <c r="A82" s="86"/>
      <c r="B82" s="87"/>
      <c r="C82" s="88"/>
      <c r="D82" s="92"/>
      <c r="E82" s="93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1:20" ht="12.25" customHeight="1">
      <c r="A83" s="86"/>
      <c r="B83" s="87"/>
      <c r="C83" s="102" t="s">
        <v>221</v>
      </c>
      <c r="D83" s="92">
        <f>SUM(D5:D81)</f>
        <v>29152.280000000002</v>
      </c>
      <c r="E83" s="93"/>
      <c r="F83" s="94">
        <f t="shared" ref="F83:T83" si="1">SUM(F5:F81)</f>
        <v>37.11</v>
      </c>
      <c r="G83" s="94">
        <f t="shared" si="1"/>
        <v>18032.810000000001</v>
      </c>
      <c r="H83" s="94">
        <f t="shared" si="1"/>
        <v>960.07000000000016</v>
      </c>
      <c r="I83" s="94">
        <f t="shared" si="1"/>
        <v>60</v>
      </c>
      <c r="J83" s="94">
        <f t="shared" si="1"/>
        <v>70</v>
      </c>
      <c r="K83" s="94">
        <f t="shared" si="1"/>
        <v>511.84000000000003</v>
      </c>
      <c r="L83" s="94">
        <f t="shared" si="1"/>
        <v>6600</v>
      </c>
      <c r="M83" s="94">
        <f t="shared" si="1"/>
        <v>525</v>
      </c>
      <c r="N83" s="94">
        <f t="shared" si="1"/>
        <v>1108.8499999999999</v>
      </c>
      <c r="O83" s="94">
        <f t="shared" si="1"/>
        <v>861.6</v>
      </c>
      <c r="P83" s="94">
        <f t="shared" si="1"/>
        <v>0</v>
      </c>
      <c r="Q83" s="94">
        <f t="shared" si="1"/>
        <v>385</v>
      </c>
      <c r="R83" s="94">
        <f t="shared" si="1"/>
        <v>0</v>
      </c>
      <c r="S83" s="94">
        <f t="shared" si="1"/>
        <v>0</v>
      </c>
      <c r="T83" s="94">
        <f t="shared" si="1"/>
        <v>0</v>
      </c>
    </row>
    <row r="84" spans="1:20" ht="12.25" customHeight="1">
      <c r="A84" s="86"/>
      <c r="B84" s="87"/>
      <c r="C84" s="102" t="s">
        <v>222</v>
      </c>
      <c r="D84" s="92">
        <f>SUM(F83:T83)</f>
        <v>29152.28</v>
      </c>
      <c r="E84" s="93">
        <f>$D83-$D84</f>
        <v>0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1:20" ht="12.25" customHeight="1">
      <c r="A85" s="95" t="s">
        <v>223</v>
      </c>
      <c r="B85" s="87"/>
      <c r="C85" s="88"/>
      <c r="D85" s="92"/>
      <c r="E85" s="93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</row>
    <row r="86" spans="1:20" ht="12.25" customHeight="1">
      <c r="A86" s="609" t="s">
        <v>224</v>
      </c>
      <c r="B86" s="603"/>
      <c r="C86" s="603"/>
      <c r="D86" s="92">
        <v>4.93</v>
      </c>
      <c r="E86" s="93"/>
      <c r="F86" s="94"/>
      <c r="G86" s="94"/>
      <c r="H86" s="94">
        <f>$D86</f>
        <v>4.93</v>
      </c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</row>
    <row r="87" spans="1:20" ht="12.25" customHeight="1">
      <c r="A87" s="86"/>
      <c r="B87" s="87"/>
      <c r="C87" s="88"/>
      <c r="D87" s="92"/>
      <c r="E87" s="93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1:20" ht="12.25" customHeight="1">
      <c r="A88" s="145" t="s">
        <v>81</v>
      </c>
      <c r="B88" s="87" t="s">
        <v>82</v>
      </c>
      <c r="C88" s="88"/>
      <c r="D88" s="92">
        <f>N88</f>
        <v>86.89</v>
      </c>
      <c r="E88" s="93"/>
      <c r="F88" s="94"/>
      <c r="G88" s="94"/>
      <c r="H88" s="94"/>
      <c r="I88" s="94"/>
      <c r="J88" s="94"/>
      <c r="K88" s="94"/>
      <c r="L88" s="94"/>
      <c r="M88" s="94"/>
      <c r="N88" s="94">
        <f>26.79+60.1</f>
        <v>86.89</v>
      </c>
      <c r="O88" s="94"/>
      <c r="P88" s="94"/>
      <c r="Q88" s="94"/>
      <c r="R88" s="94"/>
      <c r="S88" s="94"/>
      <c r="T88" s="94"/>
    </row>
    <row r="89" spans="1:20" ht="12.25" customHeight="1">
      <c r="A89" s="86"/>
      <c r="B89" s="87" t="s">
        <v>83</v>
      </c>
      <c r="C89" s="88"/>
      <c r="D89" s="92">
        <f>N89</f>
        <v>58.36</v>
      </c>
      <c r="E89" s="93"/>
      <c r="F89" s="94"/>
      <c r="G89" s="94"/>
      <c r="H89" s="94"/>
      <c r="I89" s="94"/>
      <c r="J89" s="94"/>
      <c r="K89" s="94"/>
      <c r="L89" s="94"/>
      <c r="M89" s="94"/>
      <c r="N89" s="94">
        <f>38.37+19.99</f>
        <v>58.36</v>
      </c>
      <c r="O89" s="94"/>
      <c r="P89" s="94"/>
      <c r="Q89" s="94"/>
      <c r="R89" s="94"/>
      <c r="S89" s="94"/>
      <c r="T89" s="94"/>
    </row>
    <row r="90" spans="1:20" ht="12.25" customHeight="1">
      <c r="A90" s="86"/>
      <c r="B90" s="87" t="s">
        <v>84</v>
      </c>
      <c r="C90" s="88"/>
      <c r="D90" s="92">
        <f>R90</f>
        <v>46</v>
      </c>
      <c r="E90" s="93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>
        <v>46</v>
      </c>
      <c r="S90" s="94"/>
      <c r="T90" s="94"/>
    </row>
    <row r="91" spans="1:20" ht="12.25" customHeight="1">
      <c r="A91" s="86"/>
      <c r="B91" s="87" t="s">
        <v>85</v>
      </c>
      <c r="C91" s="88"/>
      <c r="D91" s="92">
        <f>20+37.96</f>
        <v>57.96</v>
      </c>
      <c r="E91" s="93"/>
      <c r="F91" s="94"/>
      <c r="G91" s="94"/>
      <c r="H91" s="94"/>
      <c r="I91" s="94"/>
      <c r="J91" s="94"/>
      <c r="K91" s="94">
        <f>$D91</f>
        <v>57.96</v>
      </c>
      <c r="L91" s="94"/>
      <c r="M91" s="94"/>
      <c r="N91" s="94"/>
      <c r="O91" s="94"/>
      <c r="P91" s="94"/>
      <c r="Q91" s="94"/>
      <c r="R91" s="94"/>
      <c r="S91" s="94"/>
      <c r="T91" s="94"/>
    </row>
    <row r="92" spans="1:20" ht="12.25" customHeight="1">
      <c r="A92" s="86"/>
      <c r="B92" s="87"/>
      <c r="C92" s="88"/>
      <c r="D92" s="92"/>
      <c r="E92" s="93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1:20" ht="12.25" customHeight="1">
      <c r="A93" s="86"/>
      <c r="B93" s="87"/>
      <c r="C93" s="88"/>
      <c r="D93" s="92">
        <f>$D83+$D86+$D88+$D89+$D90+$D91</f>
        <v>29406.420000000002</v>
      </c>
      <c r="E93" s="93"/>
      <c r="F93" s="94">
        <f t="shared" ref="F93:T93" si="2">SUM(F83:F92)</f>
        <v>37.11</v>
      </c>
      <c r="G93" s="94">
        <f t="shared" si="2"/>
        <v>18032.810000000001</v>
      </c>
      <c r="H93" s="94">
        <f t="shared" si="2"/>
        <v>965.00000000000011</v>
      </c>
      <c r="I93" s="94">
        <f t="shared" si="2"/>
        <v>60</v>
      </c>
      <c r="J93" s="94">
        <f t="shared" si="2"/>
        <v>70</v>
      </c>
      <c r="K93" s="94">
        <f t="shared" si="2"/>
        <v>569.80000000000007</v>
      </c>
      <c r="L93" s="94">
        <f t="shared" si="2"/>
        <v>6600</v>
      </c>
      <c r="M93" s="94">
        <f t="shared" si="2"/>
        <v>525</v>
      </c>
      <c r="N93" s="94">
        <f t="shared" si="2"/>
        <v>1254.0999999999999</v>
      </c>
      <c r="O93" s="94">
        <f t="shared" si="2"/>
        <v>861.6</v>
      </c>
      <c r="P93" s="94">
        <f t="shared" si="2"/>
        <v>0</v>
      </c>
      <c r="Q93" s="94">
        <f t="shared" si="2"/>
        <v>385</v>
      </c>
      <c r="R93" s="94">
        <f t="shared" si="2"/>
        <v>46</v>
      </c>
      <c r="S93" s="94">
        <f t="shared" si="2"/>
        <v>0</v>
      </c>
      <c r="T93" s="94">
        <f t="shared" si="2"/>
        <v>0</v>
      </c>
    </row>
    <row r="94" spans="1:20" ht="12.25" customHeight="1">
      <c r="A94" s="86"/>
      <c r="B94" s="87"/>
      <c r="C94" s="102" t="s">
        <v>222</v>
      </c>
      <c r="D94" s="92">
        <f>SUM(F93:T93)</f>
        <v>29406.42</v>
      </c>
      <c r="E94" s="93">
        <f>$D93-$D94</f>
        <v>0</v>
      </c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1:20" ht="12.25" customHeight="1">
      <c r="A95" s="103" t="s">
        <v>220</v>
      </c>
      <c r="B95" s="87"/>
      <c r="C95" s="88"/>
      <c r="D95" s="92">
        <v>4134</v>
      </c>
      <c r="E95" s="93"/>
      <c r="F95" s="94"/>
      <c r="G95" s="94"/>
      <c r="H95" s="94">
        <v>1638</v>
      </c>
      <c r="I95" s="94"/>
      <c r="J95" s="94"/>
      <c r="K95" s="94"/>
      <c r="L95" s="94"/>
      <c r="M95" s="94"/>
      <c r="N95" s="94"/>
      <c r="O95" s="94"/>
      <c r="P95" s="94"/>
      <c r="Q95" s="94">
        <v>2496</v>
      </c>
      <c r="R95" s="94"/>
      <c r="S95" s="94"/>
      <c r="T95" s="94"/>
    </row>
    <row r="96" spans="1:20" ht="14.25" customHeight="1">
      <c r="A96" s="104"/>
      <c r="B96" s="87"/>
      <c r="C96" s="88"/>
      <c r="D96" s="92"/>
      <c r="E96" s="93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1:20" ht="12.25" customHeight="1">
      <c r="A97" s="86"/>
      <c r="B97" s="87"/>
      <c r="C97" s="88"/>
      <c r="D97" s="92"/>
      <c r="E97" s="93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1:20" ht="12.25" customHeight="1">
      <c r="A98" s="602" t="s">
        <v>86</v>
      </c>
      <c r="B98" s="603"/>
      <c r="C98" s="105"/>
      <c r="D98" s="106">
        <f>SUM($D94:$D97)</f>
        <v>33540.42</v>
      </c>
      <c r="E98" s="93">
        <f>SUM(F98:T98)</f>
        <v>33540.42</v>
      </c>
      <c r="F98" s="107">
        <f t="shared" ref="F98:T98" si="3">SUM(F93:F97)</f>
        <v>37.11</v>
      </c>
      <c r="G98" s="107">
        <f t="shared" si="3"/>
        <v>18032.810000000001</v>
      </c>
      <c r="H98" s="107">
        <f t="shared" si="3"/>
        <v>2603</v>
      </c>
      <c r="I98" s="107">
        <f t="shared" si="3"/>
        <v>60</v>
      </c>
      <c r="J98" s="107">
        <f t="shared" si="3"/>
        <v>70</v>
      </c>
      <c r="K98" s="107">
        <f t="shared" si="3"/>
        <v>569.80000000000007</v>
      </c>
      <c r="L98" s="107">
        <f t="shared" si="3"/>
        <v>6600</v>
      </c>
      <c r="M98" s="107">
        <f t="shared" si="3"/>
        <v>525</v>
      </c>
      <c r="N98" s="107">
        <f t="shared" si="3"/>
        <v>1254.0999999999999</v>
      </c>
      <c r="O98" s="107">
        <f t="shared" si="3"/>
        <v>861.6</v>
      </c>
      <c r="P98" s="107">
        <f t="shared" si="3"/>
        <v>0</v>
      </c>
      <c r="Q98" s="107">
        <f t="shared" si="3"/>
        <v>2881</v>
      </c>
      <c r="R98" s="107">
        <f t="shared" si="3"/>
        <v>46</v>
      </c>
      <c r="S98" s="107">
        <f t="shared" si="3"/>
        <v>0</v>
      </c>
      <c r="T98" s="107">
        <f t="shared" si="3"/>
        <v>0</v>
      </c>
    </row>
    <row r="99" spans="1:20" ht="14.25" customHeight="1">
      <c r="A99" s="104"/>
      <c r="B99" s="87"/>
      <c r="C99" s="103" t="s">
        <v>225</v>
      </c>
      <c r="D99" s="108"/>
      <c r="E99" s="109">
        <f>F98+H98+I98+J98+K98+L98+M98+N98+O98+P98+Q98+R98+S98</f>
        <v>15507.61</v>
      </c>
      <c r="F99" s="8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1:20" ht="12.25" customHeight="1">
      <c r="A100" s="86"/>
      <c r="B100" s="87"/>
      <c r="C100" s="88"/>
      <c r="D100" s="92"/>
      <c r="E100" s="93">
        <f>$D98-G98</f>
        <v>15507.609999999997</v>
      </c>
      <c r="F100" s="110" t="s">
        <v>79</v>
      </c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1:20" ht="12.25" customHeight="1">
      <c r="A101" s="86"/>
      <c r="B101" s="87"/>
      <c r="C101" s="88"/>
      <c r="D101" s="92"/>
      <c r="E101" s="93"/>
      <c r="F101" s="94"/>
      <c r="G101" s="110" t="s">
        <v>226</v>
      </c>
      <c r="H101" s="94">
        <f>H86+H80+H79+H78+H77+H74+H70+H69+H66+H54+H47+H46+H45+H44+H43+H24</f>
        <v>498.00000000000006</v>
      </c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1:20" ht="12.25" customHeight="1">
      <c r="A102" s="86"/>
      <c r="B102" s="87"/>
      <c r="C102" s="88"/>
      <c r="D102" s="92"/>
      <c r="E102" s="93"/>
      <c r="F102" s="94"/>
      <c r="G102" s="110" t="s">
        <v>80</v>
      </c>
      <c r="H102" s="94">
        <f>H95</f>
        <v>1638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1:20" ht="22.25" customHeight="1">
      <c r="A103" s="86"/>
      <c r="B103" s="87"/>
      <c r="C103" s="88"/>
      <c r="D103" s="92"/>
      <c r="E103" s="93"/>
      <c r="F103" s="94"/>
      <c r="G103" s="110" t="s">
        <v>227</v>
      </c>
      <c r="H103" s="94">
        <f>H75+H67+H65+H56+H53+H39+H34</f>
        <v>467</v>
      </c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ht="12.25" customHeight="1">
      <c r="A104" s="86"/>
      <c r="B104" s="87"/>
      <c r="C104" s="88"/>
      <c r="D104" s="92"/>
      <c r="E104" s="93"/>
      <c r="F104" s="94"/>
      <c r="G104" s="94"/>
      <c r="H104" s="94">
        <f>SUM(H101:H103)</f>
        <v>2603</v>
      </c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</sheetData>
  <mergeCells count="3">
    <mergeCell ref="A1:T1"/>
    <mergeCell ref="A98:B98"/>
    <mergeCell ref="A86:C86"/>
  </mergeCells>
  <pageMargins left="0.5" right="0.5" top="0.5" bottom="0.25" header="0" footer="0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77"/>
  <sheetViews>
    <sheetView showGridLines="0" workbookViewId="0">
      <selection sqref="A1:AE1"/>
    </sheetView>
  </sheetViews>
  <sheetFormatPr baseColWidth="10" defaultColWidth="16.33203125" defaultRowHeight="14" customHeight="1"/>
  <cols>
    <col min="1" max="1" width="11.5" style="1" customWidth="1"/>
    <col min="2" max="2" width="8.33203125" style="1" customWidth="1"/>
    <col min="3" max="3" width="18.33203125" style="1" customWidth="1"/>
    <col min="4" max="4" width="9.5" style="1" customWidth="1"/>
    <col min="5" max="5" width="10.5" style="1" customWidth="1"/>
    <col min="6" max="6" width="9.5" style="1" customWidth="1"/>
    <col min="7" max="7" width="6.83203125" style="1" customWidth="1"/>
    <col min="8" max="8" width="5.33203125" style="1" customWidth="1"/>
    <col min="9" max="9" width="6.83203125" style="1" customWidth="1"/>
    <col min="10" max="11" width="6" style="1" customWidth="1"/>
    <col min="12" max="12" width="6.83203125" style="1" customWidth="1"/>
    <col min="13" max="13" width="5.33203125" style="1" customWidth="1"/>
    <col min="14" max="14" width="6.6640625" style="1" customWidth="1"/>
    <col min="15" max="15" width="7" style="1" customWidth="1"/>
    <col min="16" max="16" width="7.33203125" style="1" customWidth="1"/>
    <col min="17" max="17" width="6" style="1" customWidth="1"/>
    <col min="18" max="19" width="5.6640625" style="1" customWidth="1"/>
    <col min="20" max="20" width="8.33203125" style="1" customWidth="1"/>
    <col min="21" max="21" width="5.33203125" style="1" customWidth="1"/>
    <col min="22" max="22" width="6.83203125" style="1" customWidth="1"/>
    <col min="23" max="23" width="7.33203125" style="1" customWidth="1"/>
    <col min="24" max="24" width="6.83203125" style="1" customWidth="1"/>
    <col min="25" max="25" width="7.6640625" style="1" customWidth="1"/>
    <col min="26" max="26" width="6.6640625" style="1" customWidth="1"/>
    <col min="27" max="28" width="5.33203125" style="1" customWidth="1"/>
    <col min="29" max="29" width="7.33203125" style="1" customWidth="1"/>
    <col min="30" max="30" width="6.83203125" style="1" customWidth="1"/>
    <col min="31" max="31" width="7.5" style="1" customWidth="1"/>
    <col min="32" max="32" width="16.33203125" style="1" customWidth="1"/>
    <col min="33" max="16384" width="16.33203125" style="1"/>
  </cols>
  <sheetData>
    <row r="1" spans="1:31" ht="13.25" customHeight="1">
      <c r="A1" s="610" t="s">
        <v>228</v>
      </c>
      <c r="B1" s="611"/>
      <c r="C1" s="612"/>
      <c r="D1" s="61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:31" ht="26.25" customHeight="1">
      <c r="A2" s="173" t="s">
        <v>67</v>
      </c>
      <c r="B2" s="173" t="s">
        <v>68</v>
      </c>
      <c r="C2" s="174" t="s">
        <v>90</v>
      </c>
      <c r="D2" s="174" t="s">
        <v>138</v>
      </c>
      <c r="E2" s="72"/>
      <c r="F2" s="76" t="s">
        <v>65</v>
      </c>
      <c r="G2" s="175"/>
      <c r="H2" s="72"/>
      <c r="I2" s="72"/>
      <c r="J2" s="76" t="s">
        <v>16</v>
      </c>
      <c r="K2" s="175"/>
      <c r="L2" s="175"/>
      <c r="M2" s="72"/>
      <c r="N2" s="72"/>
      <c r="O2" s="72"/>
      <c r="P2" s="72"/>
      <c r="Q2" s="72"/>
      <c r="R2" s="175"/>
      <c r="S2" s="72"/>
      <c r="T2" s="72"/>
      <c r="U2" s="72"/>
      <c r="V2" s="176" t="s">
        <v>40</v>
      </c>
      <c r="W2" s="72"/>
      <c r="X2" s="72"/>
      <c r="Y2" s="72"/>
      <c r="Z2" s="72"/>
      <c r="AA2" s="72"/>
      <c r="AB2" s="72"/>
      <c r="AC2" s="72"/>
      <c r="AD2" s="72"/>
      <c r="AE2" s="72"/>
    </row>
    <row r="3" spans="1:31" ht="62.25" customHeight="1">
      <c r="A3" s="177"/>
      <c r="B3" s="178"/>
      <c r="C3" s="179"/>
      <c r="D3" s="180"/>
      <c r="E3" s="78"/>
      <c r="F3" s="79"/>
      <c r="G3" s="181" t="s">
        <v>71</v>
      </c>
      <c r="H3" s="78" t="s">
        <v>91</v>
      </c>
      <c r="I3" s="78" t="s">
        <v>31</v>
      </c>
      <c r="J3" s="78" t="s">
        <v>13</v>
      </c>
      <c r="K3" s="181" t="s">
        <v>92</v>
      </c>
      <c r="L3" s="181" t="s">
        <v>93</v>
      </c>
      <c r="M3" s="78" t="s">
        <v>94</v>
      </c>
      <c r="N3" s="78" t="s">
        <v>17</v>
      </c>
      <c r="O3" s="78" t="s">
        <v>22</v>
      </c>
      <c r="P3" s="78" t="s">
        <v>139</v>
      </c>
      <c r="Q3" s="78" t="s">
        <v>96</v>
      </c>
      <c r="R3" s="181" t="s">
        <v>37</v>
      </c>
      <c r="S3" s="78" t="s">
        <v>97</v>
      </c>
      <c r="T3" s="78" t="s">
        <v>21</v>
      </c>
      <c r="U3" s="78" t="s">
        <v>98</v>
      </c>
      <c r="V3" s="181" t="s">
        <v>99</v>
      </c>
      <c r="W3" s="78" t="s">
        <v>229</v>
      </c>
      <c r="X3" s="78" t="s">
        <v>101</v>
      </c>
      <c r="Y3" s="78" t="s">
        <v>102</v>
      </c>
      <c r="Z3" s="78" t="s">
        <v>103</v>
      </c>
      <c r="AA3" s="78" t="s">
        <v>48</v>
      </c>
      <c r="AB3" s="78" t="s">
        <v>140</v>
      </c>
      <c r="AC3" s="78" t="s">
        <v>50</v>
      </c>
      <c r="AD3" s="78" t="s">
        <v>53</v>
      </c>
      <c r="AE3" s="78" t="s">
        <v>76</v>
      </c>
    </row>
    <row r="4" spans="1:31" ht="13.25" customHeight="1">
      <c r="A4" s="182" t="s">
        <v>105</v>
      </c>
      <c r="B4" s="183"/>
      <c r="C4" s="184"/>
      <c r="D4" s="185"/>
      <c r="E4" s="186"/>
      <c r="F4" s="187"/>
      <c r="G4" s="188"/>
      <c r="H4" s="187"/>
      <c r="I4" s="187"/>
      <c r="J4" s="187"/>
      <c r="K4" s="188"/>
      <c r="L4" s="188"/>
      <c r="M4" s="187"/>
      <c r="N4" s="187"/>
      <c r="O4" s="187"/>
      <c r="P4" s="187"/>
      <c r="Q4" s="187"/>
      <c r="R4" s="188"/>
      <c r="S4" s="187"/>
      <c r="T4" s="187"/>
      <c r="U4" s="187"/>
      <c r="V4" s="188"/>
      <c r="W4" s="187"/>
      <c r="X4" s="187"/>
      <c r="Y4" s="187"/>
      <c r="Z4" s="187"/>
      <c r="AA4" s="187"/>
      <c r="AB4" s="187"/>
      <c r="AC4" s="187"/>
      <c r="AD4" s="187"/>
      <c r="AE4" s="187"/>
    </row>
    <row r="5" spans="1:31" ht="13.25" customHeight="1">
      <c r="A5" s="189">
        <v>43906</v>
      </c>
      <c r="B5" s="190" t="s">
        <v>124</v>
      </c>
      <c r="C5" s="191" t="s">
        <v>142</v>
      </c>
      <c r="D5" s="192">
        <v>1000</v>
      </c>
      <c r="E5" s="193"/>
      <c r="F5" s="194">
        <f>D5</f>
        <v>1000</v>
      </c>
      <c r="G5" s="195"/>
      <c r="H5" s="194"/>
      <c r="I5" s="194"/>
      <c r="J5" s="194"/>
      <c r="K5" s="195"/>
      <c r="L5" s="195"/>
      <c r="M5" s="194"/>
      <c r="N5" s="194"/>
      <c r="O5" s="194"/>
      <c r="P5" s="194"/>
      <c r="Q5" s="194"/>
      <c r="R5" s="195"/>
      <c r="S5" s="194"/>
      <c r="T5" s="194"/>
      <c r="U5" s="194"/>
      <c r="V5" s="195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13.25" customHeight="1">
      <c r="A6" s="189">
        <v>43896</v>
      </c>
      <c r="B6" s="190" t="s">
        <v>124</v>
      </c>
      <c r="C6" s="191" t="s">
        <v>142</v>
      </c>
      <c r="D6" s="192">
        <v>1800</v>
      </c>
      <c r="E6" s="193"/>
      <c r="F6" s="194">
        <f>D6</f>
        <v>1800</v>
      </c>
      <c r="G6" s="195"/>
      <c r="H6" s="194"/>
      <c r="I6" s="194"/>
      <c r="J6" s="194"/>
      <c r="K6" s="195"/>
      <c r="L6" s="195"/>
      <c r="M6" s="194"/>
      <c r="N6" s="194"/>
      <c r="O6" s="194"/>
      <c r="P6" s="194"/>
      <c r="Q6" s="194"/>
      <c r="R6" s="195"/>
      <c r="S6" s="194"/>
      <c r="T6" s="194"/>
      <c r="U6" s="194"/>
      <c r="V6" s="195"/>
      <c r="W6" s="194"/>
      <c r="X6" s="194"/>
      <c r="Y6" s="194"/>
      <c r="Z6" s="194"/>
      <c r="AA6" s="194"/>
      <c r="AB6" s="194"/>
      <c r="AC6" s="194"/>
      <c r="AD6" s="194"/>
      <c r="AE6" s="194"/>
    </row>
    <row r="7" spans="1:31" ht="13.25" customHeight="1">
      <c r="A7" s="189">
        <v>43885</v>
      </c>
      <c r="B7" s="190" t="s">
        <v>124</v>
      </c>
      <c r="C7" s="191" t="s">
        <v>142</v>
      </c>
      <c r="D7" s="196">
        <v>500</v>
      </c>
      <c r="E7" s="197"/>
      <c r="F7" s="194">
        <f>D7</f>
        <v>500</v>
      </c>
      <c r="G7" s="198"/>
      <c r="H7" s="199"/>
      <c r="I7" s="199"/>
      <c r="J7" s="199"/>
      <c r="K7" s="198"/>
      <c r="L7" s="198"/>
      <c r="M7" s="199"/>
      <c r="N7" s="199"/>
      <c r="O7" s="199"/>
      <c r="P7" s="199"/>
      <c r="Q7" s="199"/>
      <c r="R7" s="198"/>
      <c r="S7" s="199"/>
      <c r="T7" s="199"/>
      <c r="U7" s="199"/>
      <c r="V7" s="198"/>
      <c r="W7" s="199"/>
      <c r="X7" s="199"/>
      <c r="Y7" s="199"/>
      <c r="Z7" s="199"/>
      <c r="AA7" s="199"/>
      <c r="AB7" s="199"/>
      <c r="AC7" s="199"/>
      <c r="AD7" s="199"/>
      <c r="AE7" s="199"/>
    </row>
    <row r="8" spans="1:31" ht="13.25" customHeight="1">
      <c r="A8" s="189">
        <v>43871</v>
      </c>
      <c r="B8" s="190" t="s">
        <v>124</v>
      </c>
      <c r="C8" s="191" t="s">
        <v>142</v>
      </c>
      <c r="D8" s="196">
        <v>800</v>
      </c>
      <c r="E8" s="197"/>
      <c r="F8" s="194">
        <f>D8</f>
        <v>800</v>
      </c>
      <c r="G8" s="198"/>
      <c r="H8" s="199"/>
      <c r="I8" s="199"/>
      <c r="J8" s="199"/>
      <c r="K8" s="198"/>
      <c r="L8" s="198"/>
      <c r="M8" s="199"/>
      <c r="N8" s="199"/>
      <c r="O8" s="199"/>
      <c r="P8" s="199"/>
      <c r="Q8" s="199"/>
      <c r="R8" s="198"/>
      <c r="S8" s="199"/>
      <c r="T8" s="199"/>
      <c r="U8" s="199"/>
      <c r="V8" s="198"/>
      <c r="W8" s="199"/>
      <c r="X8" s="199"/>
      <c r="Y8" s="199"/>
      <c r="Z8" s="199"/>
      <c r="AA8" s="199"/>
      <c r="AB8" s="199"/>
      <c r="AC8" s="199"/>
      <c r="AD8" s="199"/>
      <c r="AE8" s="199"/>
    </row>
    <row r="9" spans="1:31" ht="13.25" customHeight="1">
      <c r="A9" s="189">
        <v>43796</v>
      </c>
      <c r="B9" s="190" t="s">
        <v>124</v>
      </c>
      <c r="C9" s="191" t="s">
        <v>142</v>
      </c>
      <c r="D9" s="196">
        <v>800</v>
      </c>
      <c r="E9" s="197"/>
      <c r="F9" s="194">
        <f>D9</f>
        <v>800</v>
      </c>
      <c r="G9" s="198"/>
      <c r="H9" s="199"/>
      <c r="I9" s="199"/>
      <c r="J9" s="199"/>
      <c r="K9" s="198"/>
      <c r="L9" s="198"/>
      <c r="M9" s="199"/>
      <c r="N9" s="199"/>
      <c r="O9" s="199"/>
      <c r="P9" s="199"/>
      <c r="Q9" s="199"/>
      <c r="R9" s="198"/>
      <c r="S9" s="199"/>
      <c r="T9" s="199"/>
      <c r="U9" s="199"/>
      <c r="V9" s="198"/>
      <c r="W9" s="199"/>
      <c r="X9" s="199"/>
      <c r="Y9" s="199"/>
      <c r="Z9" s="199"/>
      <c r="AA9" s="199"/>
      <c r="AB9" s="199"/>
      <c r="AC9" s="199"/>
      <c r="AD9" s="199"/>
      <c r="AE9" s="199"/>
    </row>
    <row r="10" spans="1:31" ht="13.25" customHeight="1">
      <c r="A10" s="200" t="s">
        <v>106</v>
      </c>
      <c r="B10" s="190"/>
      <c r="C10" s="191"/>
      <c r="D10" s="201"/>
      <c r="E10" s="202"/>
      <c r="F10" s="203"/>
      <c r="G10" s="204"/>
      <c r="H10" s="203"/>
      <c r="I10" s="203"/>
      <c r="J10" s="203"/>
      <c r="K10" s="204"/>
      <c r="L10" s="204"/>
      <c r="M10" s="203"/>
      <c r="N10" s="203"/>
      <c r="O10" s="203"/>
      <c r="P10" s="203"/>
      <c r="Q10" s="203"/>
      <c r="R10" s="204"/>
      <c r="S10" s="203"/>
      <c r="T10" s="203"/>
      <c r="U10" s="203"/>
      <c r="V10" s="204"/>
      <c r="W10" s="203"/>
      <c r="X10" s="203"/>
      <c r="Y10" s="203"/>
      <c r="Z10" s="203"/>
      <c r="AA10" s="203"/>
      <c r="AB10" s="203"/>
      <c r="AC10" s="203"/>
      <c r="AD10" s="203"/>
      <c r="AE10" s="203"/>
    </row>
    <row r="11" spans="1:31" ht="35.25" customHeight="1">
      <c r="A11" s="189">
        <v>43910</v>
      </c>
      <c r="B11" s="190" t="s">
        <v>124</v>
      </c>
      <c r="C11" s="191" t="s">
        <v>147</v>
      </c>
      <c r="D11" s="192">
        <v>837.9</v>
      </c>
      <c r="E11" s="202" t="s">
        <v>230</v>
      </c>
      <c r="F11" s="194"/>
      <c r="G11" s="195">
        <f>120*0.9</f>
        <v>108</v>
      </c>
      <c r="H11" s="8"/>
      <c r="I11" s="194"/>
      <c r="J11" s="194"/>
      <c r="K11" s="195">
        <f>42.5*0.9</f>
        <v>38.25</v>
      </c>
      <c r="L11" s="195"/>
      <c r="M11" s="194"/>
      <c r="N11" s="194"/>
      <c r="O11" s="194"/>
      <c r="P11" s="194"/>
      <c r="Q11" s="194"/>
      <c r="R11" s="195">
        <f>75*0.9</f>
        <v>67.5</v>
      </c>
      <c r="S11" s="194"/>
      <c r="T11" s="194">
        <f>58.5*0.9</f>
        <v>52.65</v>
      </c>
      <c r="U11" s="194"/>
      <c r="V11" s="195"/>
      <c r="W11" s="194">
        <f>635*0.9</f>
        <v>571.5</v>
      </c>
      <c r="X11" s="194"/>
      <c r="Y11" s="194"/>
      <c r="Z11" s="194"/>
      <c r="AA11" s="194"/>
      <c r="AB11" s="194"/>
      <c r="AC11" s="194"/>
      <c r="AD11" s="194"/>
      <c r="AE11" s="194"/>
    </row>
    <row r="12" spans="1:31" ht="14.25" customHeight="1">
      <c r="A12" s="189">
        <v>43906</v>
      </c>
      <c r="B12" s="190" t="s">
        <v>124</v>
      </c>
      <c r="C12" s="191" t="s">
        <v>231</v>
      </c>
      <c r="D12" s="192">
        <v>1170</v>
      </c>
      <c r="E12" s="193"/>
      <c r="F12" s="194"/>
      <c r="G12" s="195"/>
      <c r="H12" s="194"/>
      <c r="I12" s="194"/>
      <c r="J12" s="194"/>
      <c r="K12" s="195"/>
      <c r="L12" s="195"/>
      <c r="M12" s="194"/>
      <c r="N12" s="194"/>
      <c r="O12" s="194"/>
      <c r="P12" s="194"/>
      <c r="Q12" s="194"/>
      <c r="R12" s="195"/>
      <c r="S12" s="194"/>
      <c r="T12" s="194">
        <f>D12</f>
        <v>1170</v>
      </c>
      <c r="U12" s="194"/>
      <c r="V12" s="195"/>
      <c r="W12" s="8"/>
      <c r="X12" s="194"/>
      <c r="Y12" s="194"/>
      <c r="Z12" s="194"/>
      <c r="AA12" s="194"/>
      <c r="AB12" s="194"/>
      <c r="AC12" s="194"/>
      <c r="AD12" s="194"/>
      <c r="AE12" s="194"/>
    </row>
    <row r="13" spans="1:31" ht="14.25" customHeight="1">
      <c r="A13" s="189">
        <v>43896</v>
      </c>
      <c r="B13" s="190" t="s">
        <v>124</v>
      </c>
      <c r="C13" s="191" t="s">
        <v>232</v>
      </c>
      <c r="D13" s="192">
        <v>35</v>
      </c>
      <c r="E13" s="193"/>
      <c r="F13" s="194"/>
      <c r="G13" s="195"/>
      <c r="H13" s="194"/>
      <c r="I13" s="194"/>
      <c r="J13" s="194"/>
      <c r="K13" s="195"/>
      <c r="L13" s="195"/>
      <c r="M13" s="194"/>
      <c r="N13" s="194"/>
      <c r="O13" s="194"/>
      <c r="P13" s="194"/>
      <c r="Q13" s="194"/>
      <c r="R13" s="195"/>
      <c r="S13" s="194">
        <f>D13</f>
        <v>35</v>
      </c>
      <c r="T13" s="8"/>
      <c r="U13" s="194"/>
      <c r="V13" s="195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13.25" customHeight="1">
      <c r="A14" s="189">
        <v>43896</v>
      </c>
      <c r="B14" s="190" t="s">
        <v>124</v>
      </c>
      <c r="C14" s="191" t="s">
        <v>233</v>
      </c>
      <c r="D14" s="192">
        <v>1710</v>
      </c>
      <c r="E14" s="193"/>
      <c r="F14" s="194"/>
      <c r="G14" s="195"/>
      <c r="H14" s="194"/>
      <c r="I14" s="194"/>
      <c r="J14" s="194"/>
      <c r="K14" s="195"/>
      <c r="L14" s="195"/>
      <c r="M14" s="194"/>
      <c r="N14" s="194"/>
      <c r="O14" s="194"/>
      <c r="P14" s="194"/>
      <c r="Q14" s="194"/>
      <c r="R14" s="195"/>
      <c r="S14" s="194"/>
      <c r="T14" s="194">
        <f>D14</f>
        <v>1710</v>
      </c>
      <c r="U14" s="194"/>
      <c r="V14" s="195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ht="13.25" customHeight="1">
      <c r="A15" s="189">
        <v>43895</v>
      </c>
      <c r="B15" s="190" t="s">
        <v>149</v>
      </c>
      <c r="C15" s="191" t="s">
        <v>150</v>
      </c>
      <c r="D15" s="192">
        <v>75</v>
      </c>
      <c r="E15" s="193"/>
      <c r="F15" s="194"/>
      <c r="G15" s="195"/>
      <c r="H15" s="194"/>
      <c r="I15" s="194"/>
      <c r="J15" s="194"/>
      <c r="K15" s="195"/>
      <c r="L15" s="195"/>
      <c r="M15" s="194"/>
      <c r="N15" s="194"/>
      <c r="O15" s="194"/>
      <c r="P15" s="194"/>
      <c r="Q15" s="194"/>
      <c r="R15" s="195"/>
      <c r="S15" s="194"/>
      <c r="T15" s="194"/>
      <c r="U15" s="194"/>
      <c r="V15" s="195"/>
      <c r="W15" s="194"/>
      <c r="X15" s="194"/>
      <c r="Y15" s="194"/>
      <c r="Z15" s="194">
        <f>D15</f>
        <v>75</v>
      </c>
      <c r="AA15" s="194"/>
      <c r="AB15" s="194"/>
      <c r="AC15" s="194"/>
      <c r="AD15" s="194"/>
      <c r="AE15" s="194"/>
    </row>
    <row r="16" spans="1:31" ht="13.25" customHeight="1">
      <c r="A16" s="189">
        <v>43886</v>
      </c>
      <c r="B16" s="190" t="s">
        <v>149</v>
      </c>
      <c r="C16" s="191" t="s">
        <v>150</v>
      </c>
      <c r="D16" s="192">
        <v>75</v>
      </c>
      <c r="E16" s="193"/>
      <c r="F16" s="194"/>
      <c r="G16" s="195"/>
      <c r="H16" s="194"/>
      <c r="I16" s="194"/>
      <c r="J16" s="194"/>
      <c r="K16" s="195"/>
      <c r="L16" s="195"/>
      <c r="M16" s="194"/>
      <c r="N16" s="194"/>
      <c r="O16" s="194"/>
      <c r="P16" s="194"/>
      <c r="Q16" s="194"/>
      <c r="R16" s="195"/>
      <c r="S16" s="194"/>
      <c r="T16" s="194"/>
      <c r="U16" s="194"/>
      <c r="V16" s="195"/>
      <c r="W16" s="194"/>
      <c r="X16" s="194"/>
      <c r="Y16" s="194"/>
      <c r="Z16" s="194">
        <f>D16</f>
        <v>75</v>
      </c>
      <c r="AA16" s="194"/>
      <c r="AB16" s="194"/>
      <c r="AC16" s="194"/>
      <c r="AD16" s="194"/>
      <c r="AE16" s="194"/>
    </row>
    <row r="17" spans="1:31" ht="35.25" customHeight="1">
      <c r="A17" s="189">
        <v>43886</v>
      </c>
      <c r="B17" s="190" t="s">
        <v>124</v>
      </c>
      <c r="C17" s="191" t="s">
        <v>181</v>
      </c>
      <c r="D17" s="192">
        <v>279.44</v>
      </c>
      <c r="E17" s="202" t="s">
        <v>234</v>
      </c>
      <c r="F17" s="194"/>
      <c r="G17" s="195"/>
      <c r="H17" s="194"/>
      <c r="I17" s="194"/>
      <c r="J17" s="194"/>
      <c r="K17" s="195"/>
      <c r="L17" s="195">
        <f>14.85+24</f>
        <v>38.85</v>
      </c>
      <c r="M17" s="194"/>
      <c r="N17" s="194">
        <f>9.76</f>
        <v>9.76</v>
      </c>
      <c r="O17" s="194"/>
      <c r="P17" s="194"/>
      <c r="Q17" s="194"/>
      <c r="R17" s="195"/>
      <c r="S17" s="194"/>
      <c r="T17" s="194"/>
      <c r="U17" s="194"/>
      <c r="V17" s="195">
        <v>9.85</v>
      </c>
      <c r="W17" s="194"/>
      <c r="X17" s="194"/>
      <c r="Y17" s="194">
        <f>42.4+73.58</f>
        <v>115.97999999999999</v>
      </c>
      <c r="Z17" s="194"/>
      <c r="AA17" s="194"/>
      <c r="AB17" s="194"/>
      <c r="AC17" s="194"/>
      <c r="AD17" s="194"/>
      <c r="AE17" s="194">
        <v>105</v>
      </c>
    </row>
    <row r="18" spans="1:31" ht="14.25" customHeight="1">
      <c r="A18" s="189">
        <v>43885</v>
      </c>
      <c r="B18" s="190" t="s">
        <v>124</v>
      </c>
      <c r="C18" s="191" t="s">
        <v>235</v>
      </c>
      <c r="D18" s="192">
        <v>46.38</v>
      </c>
      <c r="E18" s="193"/>
      <c r="F18" s="194"/>
      <c r="G18" s="195"/>
      <c r="H18" s="194"/>
      <c r="I18" s="194"/>
      <c r="J18" s="194"/>
      <c r="K18" s="195"/>
      <c r="L18" s="195"/>
      <c r="M18" s="194"/>
      <c r="N18" s="194"/>
      <c r="O18" s="194"/>
      <c r="P18" s="194"/>
      <c r="Q18" s="194"/>
      <c r="R18" s="195"/>
      <c r="S18" s="194">
        <f>$D18</f>
        <v>46.38</v>
      </c>
      <c r="T18" s="194"/>
      <c r="U18" s="194"/>
      <c r="V18" s="195"/>
      <c r="W18" s="194"/>
      <c r="X18" s="194"/>
      <c r="Y18" s="194"/>
      <c r="Z18" s="194"/>
      <c r="AA18" s="194"/>
      <c r="AB18" s="194"/>
      <c r="AC18" s="194"/>
      <c r="AD18" s="194"/>
      <c r="AE18" s="8"/>
    </row>
    <row r="19" spans="1:31" ht="13.25" customHeight="1">
      <c r="A19" s="189">
        <v>43881</v>
      </c>
      <c r="B19" s="190" t="s">
        <v>124</v>
      </c>
      <c r="C19" s="191" t="s">
        <v>236</v>
      </c>
      <c r="D19" s="192">
        <v>448</v>
      </c>
      <c r="E19" s="193"/>
      <c r="F19" s="194"/>
      <c r="G19" s="195"/>
      <c r="H19" s="194"/>
      <c r="I19" s="194"/>
      <c r="J19" s="194"/>
      <c r="K19" s="195"/>
      <c r="L19" s="195"/>
      <c r="M19" s="194"/>
      <c r="N19" s="194"/>
      <c r="O19" s="194"/>
      <c r="P19" s="194"/>
      <c r="Q19" s="194"/>
      <c r="R19" s="195"/>
      <c r="S19" s="194"/>
      <c r="T19" s="194"/>
      <c r="U19" s="194">
        <f>$D19</f>
        <v>448</v>
      </c>
      <c r="V19" s="195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14.25" customHeight="1">
      <c r="A20" s="189">
        <v>43871</v>
      </c>
      <c r="B20" s="190" t="s">
        <v>124</v>
      </c>
      <c r="C20" s="191" t="s">
        <v>232</v>
      </c>
      <c r="D20" s="192">
        <v>92.8</v>
      </c>
      <c r="E20" s="202" t="s">
        <v>237</v>
      </c>
      <c r="F20" s="194"/>
      <c r="G20" s="195"/>
      <c r="H20" s="194"/>
      <c r="I20" s="194"/>
      <c r="J20" s="194"/>
      <c r="K20" s="195">
        <f>$D20</f>
        <v>92.8</v>
      </c>
      <c r="L20" s="195"/>
      <c r="M20" s="194"/>
      <c r="N20" s="194"/>
      <c r="O20" s="194"/>
      <c r="P20" s="194"/>
      <c r="Q20" s="194"/>
      <c r="R20" s="195"/>
      <c r="S20" s="194"/>
      <c r="T20" s="8"/>
      <c r="U20" s="194"/>
      <c r="V20" s="195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ht="13.25" customHeight="1">
      <c r="A21" s="189">
        <v>43864</v>
      </c>
      <c r="B21" s="190" t="s">
        <v>149</v>
      </c>
      <c r="C21" s="191" t="s">
        <v>150</v>
      </c>
      <c r="D21" s="192">
        <v>75</v>
      </c>
      <c r="E21" s="193"/>
      <c r="F21" s="194"/>
      <c r="G21" s="195"/>
      <c r="H21" s="194"/>
      <c r="I21" s="194"/>
      <c r="J21" s="194"/>
      <c r="K21" s="195"/>
      <c r="L21" s="195"/>
      <c r="M21" s="194"/>
      <c r="N21" s="194"/>
      <c r="O21" s="194"/>
      <c r="P21" s="194"/>
      <c r="Q21" s="194"/>
      <c r="R21" s="195"/>
      <c r="S21" s="194"/>
      <c r="T21" s="194"/>
      <c r="U21" s="194"/>
      <c r="V21" s="195"/>
      <c r="W21" s="194"/>
      <c r="X21" s="194"/>
      <c r="Y21" s="194"/>
      <c r="Z21" s="194">
        <f>$D21</f>
        <v>75</v>
      </c>
      <c r="AA21" s="194"/>
      <c r="AB21" s="194"/>
      <c r="AC21" s="194"/>
      <c r="AD21" s="194"/>
      <c r="AE21" s="194"/>
    </row>
    <row r="22" spans="1:31" ht="13.25" customHeight="1">
      <c r="A22" s="189">
        <v>43832</v>
      </c>
      <c r="B22" s="190" t="s">
        <v>149</v>
      </c>
      <c r="C22" s="191" t="s">
        <v>150</v>
      </c>
      <c r="D22" s="192">
        <v>75</v>
      </c>
      <c r="E22" s="193"/>
      <c r="F22" s="194"/>
      <c r="G22" s="195"/>
      <c r="H22" s="194"/>
      <c r="I22" s="194"/>
      <c r="J22" s="194"/>
      <c r="K22" s="195"/>
      <c r="L22" s="195"/>
      <c r="M22" s="194"/>
      <c r="N22" s="194"/>
      <c r="O22" s="194"/>
      <c r="P22" s="194"/>
      <c r="Q22" s="194"/>
      <c r="R22" s="195"/>
      <c r="S22" s="194"/>
      <c r="T22" s="194"/>
      <c r="U22" s="194"/>
      <c r="V22" s="195"/>
      <c r="W22" s="194"/>
      <c r="X22" s="194"/>
      <c r="Y22" s="194"/>
      <c r="Z22" s="194">
        <f>$D22</f>
        <v>75</v>
      </c>
      <c r="AA22" s="194"/>
      <c r="AB22" s="194"/>
      <c r="AC22" s="194"/>
      <c r="AD22" s="194"/>
      <c r="AE22" s="194"/>
    </row>
    <row r="23" spans="1:31" ht="13.25" customHeight="1">
      <c r="A23" s="189">
        <v>43832</v>
      </c>
      <c r="B23" s="190" t="s">
        <v>149</v>
      </c>
      <c r="C23" s="191" t="s">
        <v>165</v>
      </c>
      <c r="D23" s="192">
        <v>50</v>
      </c>
      <c r="E23" s="193"/>
      <c r="F23" s="194"/>
      <c r="G23" s="195"/>
      <c r="H23" s="194"/>
      <c r="I23" s="194">
        <f>$D23</f>
        <v>50</v>
      </c>
      <c r="J23" s="194"/>
      <c r="K23" s="195"/>
      <c r="L23" s="195"/>
      <c r="M23" s="194"/>
      <c r="N23" s="194"/>
      <c r="O23" s="194"/>
      <c r="P23" s="194"/>
      <c r="Q23" s="194"/>
      <c r="R23" s="195"/>
      <c r="S23" s="194"/>
      <c r="T23" s="194"/>
      <c r="U23" s="194"/>
      <c r="V23" s="195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ht="13.25" customHeight="1">
      <c r="A24" s="189">
        <v>43817</v>
      </c>
      <c r="B24" s="190" t="s">
        <v>124</v>
      </c>
      <c r="C24" s="191" t="s">
        <v>238</v>
      </c>
      <c r="D24" s="192">
        <v>109.18</v>
      </c>
      <c r="E24" s="193"/>
      <c r="F24" s="194"/>
      <c r="G24" s="195"/>
      <c r="H24" s="194"/>
      <c r="I24" s="194"/>
      <c r="J24" s="194"/>
      <c r="K24" s="195"/>
      <c r="L24" s="195"/>
      <c r="M24" s="194"/>
      <c r="N24" s="194"/>
      <c r="O24" s="194"/>
      <c r="P24" s="194"/>
      <c r="Q24" s="194">
        <f>$D24</f>
        <v>109.18</v>
      </c>
      <c r="R24" s="195"/>
      <c r="S24" s="194"/>
      <c r="T24" s="194"/>
      <c r="U24" s="194"/>
      <c r="V24" s="195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ht="13.25" customHeight="1">
      <c r="A25" s="189">
        <v>43817</v>
      </c>
      <c r="B25" s="190" t="s">
        <v>124</v>
      </c>
      <c r="C25" s="191" t="s">
        <v>232</v>
      </c>
      <c r="D25" s="192">
        <v>437.6</v>
      </c>
      <c r="E25" s="202" t="s">
        <v>239</v>
      </c>
      <c r="F25" s="194"/>
      <c r="G25" s="195"/>
      <c r="H25" s="194"/>
      <c r="I25" s="194"/>
      <c r="J25" s="194"/>
      <c r="K25" s="195"/>
      <c r="L25" s="195"/>
      <c r="M25" s="194"/>
      <c r="N25" s="194"/>
      <c r="O25" s="194"/>
      <c r="P25" s="194"/>
      <c r="Q25" s="194"/>
      <c r="R25" s="195">
        <f>$D25</f>
        <v>437.6</v>
      </c>
      <c r="S25" s="194"/>
      <c r="T25" s="194"/>
      <c r="U25" s="194"/>
      <c r="V25" s="195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31" ht="24" customHeight="1">
      <c r="A26" s="189">
        <v>43817</v>
      </c>
      <c r="B26" s="190" t="s">
        <v>124</v>
      </c>
      <c r="C26" s="191" t="s">
        <v>162</v>
      </c>
      <c r="D26" s="192">
        <v>53.97</v>
      </c>
      <c r="E26" s="202" t="s">
        <v>240</v>
      </c>
      <c r="F26" s="194"/>
      <c r="G26" s="195"/>
      <c r="H26" s="194"/>
      <c r="I26" s="194"/>
      <c r="J26" s="194"/>
      <c r="K26" s="195"/>
      <c r="L26" s="195">
        <f>$D26</f>
        <v>53.97</v>
      </c>
      <c r="M26" s="194"/>
      <c r="N26" s="194"/>
      <c r="O26" s="194"/>
      <c r="P26" s="194"/>
      <c r="Q26" s="194"/>
      <c r="R26" s="195"/>
      <c r="S26" s="194"/>
      <c r="T26" s="194"/>
      <c r="U26" s="194"/>
      <c r="V26" s="195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31" ht="13.25" customHeight="1">
      <c r="A27" s="189">
        <v>43804</v>
      </c>
      <c r="B27" s="190" t="s">
        <v>124</v>
      </c>
      <c r="C27" s="191" t="s">
        <v>232</v>
      </c>
      <c r="D27" s="192">
        <v>168.7</v>
      </c>
      <c r="E27" s="193"/>
      <c r="F27" s="194"/>
      <c r="G27" s="195"/>
      <c r="H27" s="194"/>
      <c r="I27" s="194"/>
      <c r="J27" s="194"/>
      <c r="K27" s="195"/>
      <c r="L27" s="195"/>
      <c r="M27" s="194"/>
      <c r="N27" s="194"/>
      <c r="O27" s="194"/>
      <c r="P27" s="194"/>
      <c r="Q27" s="194">
        <f>$D27</f>
        <v>168.7</v>
      </c>
      <c r="R27" s="195"/>
      <c r="S27" s="194"/>
      <c r="T27" s="194"/>
      <c r="U27" s="194"/>
      <c r="V27" s="195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31" ht="13.25" customHeight="1">
      <c r="A28" s="189">
        <v>43803</v>
      </c>
      <c r="B28" s="190" t="s">
        <v>124</v>
      </c>
      <c r="C28" s="191" t="s">
        <v>241</v>
      </c>
      <c r="D28" s="192">
        <v>75</v>
      </c>
      <c r="E28" s="193"/>
      <c r="F28" s="194"/>
      <c r="G28" s="195"/>
      <c r="H28" s="194"/>
      <c r="I28" s="194"/>
      <c r="J28" s="194"/>
      <c r="K28" s="195"/>
      <c r="L28" s="195"/>
      <c r="M28" s="194"/>
      <c r="N28" s="194"/>
      <c r="O28" s="194"/>
      <c r="P28" s="194"/>
      <c r="Q28" s="194"/>
      <c r="R28" s="195"/>
      <c r="S28" s="194"/>
      <c r="T28" s="194"/>
      <c r="U28" s="194"/>
      <c r="V28" s="195"/>
      <c r="W28" s="194"/>
      <c r="X28" s="194"/>
      <c r="Y28" s="194"/>
      <c r="Z28" s="194">
        <f>$D28</f>
        <v>75</v>
      </c>
      <c r="AA28" s="194"/>
      <c r="AB28" s="194"/>
      <c r="AC28" s="194"/>
      <c r="AD28" s="194"/>
      <c r="AE28" s="194"/>
    </row>
    <row r="29" spans="1:31" ht="13.25" customHeight="1">
      <c r="A29" s="189">
        <v>43801</v>
      </c>
      <c r="B29" s="190" t="s">
        <v>149</v>
      </c>
      <c r="C29" s="191" t="s">
        <v>150</v>
      </c>
      <c r="D29" s="192">
        <v>75</v>
      </c>
      <c r="E29" s="193"/>
      <c r="F29" s="194"/>
      <c r="G29" s="195"/>
      <c r="H29" s="194"/>
      <c r="I29" s="194"/>
      <c r="J29" s="194"/>
      <c r="K29" s="195"/>
      <c r="L29" s="195"/>
      <c r="M29" s="194"/>
      <c r="N29" s="194"/>
      <c r="O29" s="194"/>
      <c r="P29" s="194"/>
      <c r="Q29" s="194"/>
      <c r="R29" s="195"/>
      <c r="S29" s="194"/>
      <c r="T29" s="194"/>
      <c r="U29" s="194"/>
      <c r="V29" s="195"/>
      <c r="W29" s="194"/>
      <c r="X29" s="194"/>
      <c r="Y29" s="194"/>
      <c r="Z29" s="194">
        <f>$D29</f>
        <v>75</v>
      </c>
      <c r="AA29" s="194"/>
      <c r="AB29" s="194"/>
      <c r="AC29" s="194"/>
      <c r="AD29" s="194"/>
      <c r="AE29" s="194"/>
    </row>
    <row r="30" spans="1:31" ht="24" customHeight="1">
      <c r="A30" s="189">
        <v>43796</v>
      </c>
      <c r="B30" s="190" t="s">
        <v>124</v>
      </c>
      <c r="C30" s="191" t="s">
        <v>157</v>
      </c>
      <c r="D30" s="192">
        <v>154.9</v>
      </c>
      <c r="E30" s="202" t="s">
        <v>242</v>
      </c>
      <c r="F30" s="194"/>
      <c r="G30" s="195"/>
      <c r="H30" s="194"/>
      <c r="I30" s="194"/>
      <c r="J30" s="194"/>
      <c r="K30" s="195"/>
      <c r="L30" s="195"/>
      <c r="M30" s="194"/>
      <c r="N30" s="194"/>
      <c r="O30" s="194"/>
      <c r="P30" s="194"/>
      <c r="Q30" s="194"/>
      <c r="R30" s="195">
        <f>134.3</f>
        <v>134.30000000000001</v>
      </c>
      <c r="S30" s="194"/>
      <c r="T30" s="194"/>
      <c r="U30" s="194"/>
      <c r="V30" s="195"/>
      <c r="W30" s="194"/>
      <c r="X30" s="194">
        <v>20.6</v>
      </c>
      <c r="Y30" s="194"/>
      <c r="Z30" s="194"/>
      <c r="AA30" s="194"/>
      <c r="AB30" s="194"/>
      <c r="AC30" s="194"/>
      <c r="AD30" s="194"/>
      <c r="AE30" s="194"/>
    </row>
    <row r="31" spans="1:31" ht="14.25" customHeight="1">
      <c r="A31" s="189">
        <v>43787</v>
      </c>
      <c r="B31" s="190" t="s">
        <v>124</v>
      </c>
      <c r="C31" s="191" t="s">
        <v>147</v>
      </c>
      <c r="D31" s="192">
        <v>829.8</v>
      </c>
      <c r="E31" s="205" t="s">
        <v>243</v>
      </c>
      <c r="F31" s="194"/>
      <c r="G31" s="195">
        <f>0.9*85</f>
        <v>76.5</v>
      </c>
      <c r="H31" s="194"/>
      <c r="I31" s="194"/>
      <c r="J31" s="194"/>
      <c r="K31" s="195"/>
      <c r="L31" s="195"/>
      <c r="M31" s="8"/>
      <c r="N31" s="8"/>
      <c r="O31" s="194">
        <f t="shared" ref="O31:X54" si="0">27*0.9</f>
        <v>24.3</v>
      </c>
      <c r="P31" s="194"/>
      <c r="Q31" s="194"/>
      <c r="R31" s="195"/>
      <c r="S31" s="194"/>
      <c r="T31" s="194"/>
      <c r="U31" s="194"/>
      <c r="V31" s="206"/>
      <c r="W31" s="194">
        <f>685*0.9</f>
        <v>616.5</v>
      </c>
      <c r="X31" s="194"/>
      <c r="Y31" s="194"/>
      <c r="Z31" s="194"/>
      <c r="AA31" s="194">
        <f>(27+98)*0.9</f>
        <v>112.5</v>
      </c>
      <c r="AB31" s="194"/>
      <c r="AC31" s="194"/>
      <c r="AD31" s="194"/>
      <c r="AE31" s="194"/>
    </row>
    <row r="32" spans="1:31" ht="13.25" customHeight="1">
      <c r="A32" s="189">
        <v>43770</v>
      </c>
      <c r="B32" s="190" t="s">
        <v>149</v>
      </c>
      <c r="C32" s="191" t="s">
        <v>150</v>
      </c>
      <c r="D32" s="192">
        <v>75</v>
      </c>
      <c r="E32" s="193"/>
      <c r="F32" s="194"/>
      <c r="G32" s="195"/>
      <c r="H32" s="194"/>
      <c r="I32" s="194"/>
      <c r="J32" s="194"/>
      <c r="K32" s="195"/>
      <c r="L32" s="195"/>
      <c r="M32" s="194"/>
      <c r="N32" s="194"/>
      <c r="O32" s="194"/>
      <c r="P32" s="194"/>
      <c r="Q32" s="194"/>
      <c r="R32" s="195"/>
      <c r="S32" s="194"/>
      <c r="T32" s="194"/>
      <c r="U32" s="194"/>
      <c r="V32" s="195"/>
      <c r="W32" s="194"/>
      <c r="X32" s="194"/>
      <c r="Y32" s="194"/>
      <c r="Z32" s="194">
        <f>$D32</f>
        <v>75</v>
      </c>
      <c r="AA32" s="194"/>
      <c r="AB32" s="194"/>
      <c r="AC32" s="194"/>
      <c r="AD32" s="194"/>
      <c r="AE32" s="194"/>
    </row>
    <row r="33" spans="1:31" ht="13.25" customHeight="1">
      <c r="A33" s="189">
        <v>43747</v>
      </c>
      <c r="B33" s="190" t="s">
        <v>124</v>
      </c>
      <c r="C33" s="191" t="s">
        <v>244</v>
      </c>
      <c r="D33" s="192">
        <v>6.3</v>
      </c>
      <c r="E33" s="193"/>
      <c r="F33" s="194"/>
      <c r="G33" s="195"/>
      <c r="H33" s="194"/>
      <c r="I33" s="194"/>
      <c r="J33" s="194"/>
      <c r="K33" s="195"/>
      <c r="L33" s="195"/>
      <c r="M33" s="194"/>
      <c r="N33" s="194"/>
      <c r="O33" s="194"/>
      <c r="P33" s="194"/>
      <c r="Q33" s="194"/>
      <c r="R33" s="195"/>
      <c r="S33" s="194"/>
      <c r="T33" s="194"/>
      <c r="U33" s="194"/>
      <c r="V33" s="195">
        <f>$D33</f>
        <v>6.3</v>
      </c>
      <c r="W33" s="194"/>
      <c r="X33" s="194"/>
      <c r="Y33" s="194"/>
      <c r="Z33" s="194"/>
      <c r="AA33" s="194"/>
      <c r="AB33" s="194"/>
      <c r="AC33" s="194"/>
      <c r="AD33" s="194"/>
      <c r="AE33" s="194"/>
    </row>
    <row r="34" spans="1:31" ht="13.25" customHeight="1">
      <c r="A34" s="189">
        <v>43739</v>
      </c>
      <c r="B34" s="190" t="s">
        <v>149</v>
      </c>
      <c r="C34" s="191" t="s">
        <v>165</v>
      </c>
      <c r="D34" s="192">
        <v>50</v>
      </c>
      <c r="E34" s="193"/>
      <c r="F34" s="194"/>
      <c r="G34" s="195"/>
      <c r="H34" s="194"/>
      <c r="I34" s="194">
        <f>$D34</f>
        <v>50</v>
      </c>
      <c r="J34" s="194"/>
      <c r="K34" s="195"/>
      <c r="L34" s="195"/>
      <c r="M34" s="194"/>
      <c r="N34" s="194"/>
      <c r="O34" s="194"/>
      <c r="P34" s="194"/>
      <c r="Q34" s="194"/>
      <c r="R34" s="195"/>
      <c r="S34" s="194"/>
      <c r="T34" s="194"/>
      <c r="U34" s="194"/>
      <c r="V34" s="195"/>
      <c r="W34" s="194"/>
      <c r="X34" s="194"/>
      <c r="Y34" s="194"/>
      <c r="Z34" s="194"/>
      <c r="AA34" s="194"/>
      <c r="AB34" s="194"/>
      <c r="AC34" s="194"/>
      <c r="AD34" s="194"/>
      <c r="AE34" s="194"/>
    </row>
    <row r="35" spans="1:31" ht="13.25" customHeight="1">
      <c r="A35" s="189">
        <v>43739</v>
      </c>
      <c r="B35" s="190" t="s">
        <v>149</v>
      </c>
      <c r="C35" s="191" t="s">
        <v>150</v>
      </c>
      <c r="D35" s="192">
        <v>75</v>
      </c>
      <c r="E35" s="193"/>
      <c r="F35" s="194"/>
      <c r="G35" s="195"/>
      <c r="H35" s="194"/>
      <c r="I35" s="194"/>
      <c r="J35" s="194"/>
      <c r="K35" s="195"/>
      <c r="L35" s="195"/>
      <c r="M35" s="194"/>
      <c r="N35" s="194"/>
      <c r="O35" s="194"/>
      <c r="P35" s="194"/>
      <c r="Q35" s="194"/>
      <c r="R35" s="195"/>
      <c r="S35" s="194"/>
      <c r="T35" s="194"/>
      <c r="U35" s="194"/>
      <c r="V35" s="195"/>
      <c r="W35" s="194"/>
      <c r="X35" s="194"/>
      <c r="Y35" s="194"/>
      <c r="Z35" s="194">
        <f>$D35</f>
        <v>75</v>
      </c>
      <c r="AA35" s="194"/>
      <c r="AB35" s="194"/>
      <c r="AC35" s="194"/>
      <c r="AD35" s="194"/>
      <c r="AE35" s="194"/>
    </row>
    <row r="36" spans="1:31" ht="13.25" customHeight="1">
      <c r="A36" s="189">
        <v>43728</v>
      </c>
      <c r="B36" s="190" t="s">
        <v>124</v>
      </c>
      <c r="C36" s="191" t="s">
        <v>147</v>
      </c>
      <c r="D36" s="192">
        <v>53.1</v>
      </c>
      <c r="E36" s="193"/>
      <c r="F36" s="194"/>
      <c r="G36" s="195"/>
      <c r="H36" s="194"/>
      <c r="I36" s="194"/>
      <c r="J36" s="194">
        <f>37*0.9</f>
        <v>33.300000000000004</v>
      </c>
      <c r="K36" s="195"/>
      <c r="L36" s="195"/>
      <c r="M36" s="194">
        <f>22*0.9</f>
        <v>19.8</v>
      </c>
      <c r="N36" s="194"/>
      <c r="O36" s="194"/>
      <c r="P36" s="194"/>
      <c r="Q36" s="194"/>
      <c r="R36" s="195"/>
      <c r="S36" s="194"/>
      <c r="T36" s="194"/>
      <c r="U36" s="194"/>
      <c r="V36" s="195"/>
      <c r="W36" s="194"/>
      <c r="X36" s="194"/>
      <c r="Y36" s="194"/>
      <c r="Z36" s="194"/>
      <c r="AA36" s="194"/>
      <c r="AB36" s="194"/>
      <c r="AC36" s="194"/>
      <c r="AD36" s="194"/>
      <c r="AE36" s="194"/>
    </row>
    <row r="37" spans="1:31" ht="13.25" customHeight="1">
      <c r="A37" s="189">
        <v>43727</v>
      </c>
      <c r="B37" s="190" t="s">
        <v>124</v>
      </c>
      <c r="C37" s="191" t="s">
        <v>245</v>
      </c>
      <c r="D37" s="192">
        <v>250</v>
      </c>
      <c r="E37" s="193"/>
      <c r="F37" s="194"/>
      <c r="G37" s="195"/>
      <c r="H37" s="194"/>
      <c r="I37" s="194"/>
      <c r="J37" s="194"/>
      <c r="K37" s="195"/>
      <c r="L37" s="195"/>
      <c r="M37" s="194">
        <f>$D37</f>
        <v>250</v>
      </c>
      <c r="N37" s="194"/>
      <c r="O37" s="194"/>
      <c r="P37" s="194"/>
      <c r="Q37" s="194"/>
      <c r="R37" s="195"/>
      <c r="S37" s="194"/>
      <c r="T37" s="194"/>
      <c r="U37" s="194"/>
      <c r="V37" s="195"/>
      <c r="W37" s="194"/>
      <c r="X37" s="194"/>
      <c r="Y37" s="194"/>
      <c r="Z37" s="194"/>
      <c r="AA37" s="194"/>
      <c r="AB37" s="194"/>
      <c r="AC37" s="194"/>
      <c r="AD37" s="194"/>
      <c r="AE37" s="194"/>
    </row>
    <row r="38" spans="1:31" ht="13.25" customHeight="1">
      <c r="A38" s="189">
        <v>43719</v>
      </c>
      <c r="B38" s="190" t="s">
        <v>246</v>
      </c>
      <c r="C38" s="191" t="s">
        <v>247</v>
      </c>
      <c r="D38" s="192">
        <v>153.75</v>
      </c>
      <c r="E38" s="202" t="s">
        <v>248</v>
      </c>
      <c r="F38" s="194"/>
      <c r="G38" s="195"/>
      <c r="H38" s="194"/>
      <c r="I38" s="194"/>
      <c r="J38" s="194"/>
      <c r="K38" s="195"/>
      <c r="L38" s="195"/>
      <c r="M38" s="194"/>
      <c r="N38" s="194">
        <f>$D38</f>
        <v>153.75</v>
      </c>
      <c r="O38" s="194"/>
      <c r="P38" s="194"/>
      <c r="Q38" s="194"/>
      <c r="R38" s="195"/>
      <c r="S38" s="194"/>
      <c r="T38" s="194"/>
      <c r="U38" s="194"/>
      <c r="V38" s="195"/>
      <c r="W38" s="194"/>
      <c r="X38" s="194"/>
      <c r="Y38" s="194"/>
      <c r="Z38" s="194"/>
      <c r="AA38" s="194"/>
      <c r="AB38" s="194"/>
      <c r="AC38" s="194"/>
      <c r="AD38" s="194"/>
      <c r="AE38" s="194"/>
    </row>
    <row r="39" spans="1:31" ht="13.25" customHeight="1">
      <c r="A39" s="189">
        <v>43710</v>
      </c>
      <c r="B39" s="190" t="s">
        <v>149</v>
      </c>
      <c r="C39" s="191" t="s">
        <v>150</v>
      </c>
      <c r="D39" s="192">
        <v>75</v>
      </c>
      <c r="E39" s="193"/>
      <c r="F39" s="194"/>
      <c r="G39" s="195"/>
      <c r="H39" s="194"/>
      <c r="I39" s="194"/>
      <c r="J39" s="194"/>
      <c r="K39" s="195"/>
      <c r="L39" s="195"/>
      <c r="M39" s="194"/>
      <c r="N39" s="194"/>
      <c r="O39" s="194"/>
      <c r="P39" s="194"/>
      <c r="Q39" s="194"/>
      <c r="R39" s="195"/>
      <c r="S39" s="194"/>
      <c r="T39" s="194"/>
      <c r="U39" s="194"/>
      <c r="V39" s="195"/>
      <c r="W39" s="194"/>
      <c r="X39" s="194"/>
      <c r="Y39" s="194"/>
      <c r="Z39" s="194">
        <f>$D39</f>
        <v>75</v>
      </c>
      <c r="AA39" s="194"/>
      <c r="AB39" s="194"/>
      <c r="AC39" s="194"/>
      <c r="AD39" s="194"/>
      <c r="AE39" s="194"/>
    </row>
    <row r="40" spans="1:31" ht="13.25" customHeight="1">
      <c r="A40" s="189">
        <v>43699</v>
      </c>
      <c r="B40" s="190" t="s">
        <v>124</v>
      </c>
      <c r="C40" s="191" t="s">
        <v>147</v>
      </c>
      <c r="D40" s="192">
        <v>144</v>
      </c>
      <c r="E40" s="193"/>
      <c r="F40" s="194"/>
      <c r="G40" s="195"/>
      <c r="H40" s="194"/>
      <c r="I40" s="194"/>
      <c r="J40" s="194"/>
      <c r="K40" s="195"/>
      <c r="L40" s="195">
        <f>$D40</f>
        <v>144</v>
      </c>
      <c r="M40" s="194"/>
      <c r="N40" s="194"/>
      <c r="O40" s="194"/>
      <c r="P40" s="194"/>
      <c r="Q40" s="194"/>
      <c r="R40" s="195"/>
      <c r="S40" s="194"/>
      <c r="T40" s="194"/>
      <c r="U40" s="194"/>
      <c r="V40" s="195"/>
      <c r="W40" s="194"/>
      <c r="X40" s="194"/>
      <c r="Y40" s="194"/>
      <c r="Z40" s="194"/>
      <c r="AA40" s="194"/>
      <c r="AB40" s="194"/>
      <c r="AC40" s="194"/>
      <c r="AD40" s="194"/>
      <c r="AE40" s="194"/>
    </row>
    <row r="41" spans="1:31" ht="24" customHeight="1">
      <c r="A41" s="189">
        <v>43699</v>
      </c>
      <c r="B41" s="190" t="s">
        <v>124</v>
      </c>
      <c r="C41" s="191" t="s">
        <v>147</v>
      </c>
      <c r="D41" s="192">
        <v>84.15</v>
      </c>
      <c r="E41" s="202" t="s">
        <v>249</v>
      </c>
      <c r="F41" s="194"/>
      <c r="G41" s="195"/>
      <c r="H41" s="194"/>
      <c r="I41" s="194"/>
      <c r="J41" s="194">
        <f>38.5*0.9</f>
        <v>34.65</v>
      </c>
      <c r="K41" s="195"/>
      <c r="L41" s="195"/>
      <c r="M41" s="194"/>
      <c r="N41" s="194"/>
      <c r="O41" s="194"/>
      <c r="P41" s="194"/>
      <c r="Q41" s="194"/>
      <c r="R41" s="195"/>
      <c r="S41" s="194"/>
      <c r="T41" s="194"/>
      <c r="U41" s="194"/>
      <c r="V41" s="195">
        <f>55*0.9</f>
        <v>49.5</v>
      </c>
      <c r="W41" s="194"/>
      <c r="X41" s="194"/>
      <c r="Y41" s="194"/>
      <c r="Z41" s="194"/>
      <c r="AA41" s="194"/>
      <c r="AB41" s="194"/>
      <c r="AC41" s="194"/>
      <c r="AD41" s="194"/>
      <c r="AE41" s="194"/>
    </row>
    <row r="42" spans="1:31" ht="13.25" customHeight="1">
      <c r="A42" s="189">
        <v>43699</v>
      </c>
      <c r="B42" s="190" t="s">
        <v>124</v>
      </c>
      <c r="C42" s="191" t="s">
        <v>250</v>
      </c>
      <c r="D42" s="192">
        <v>6000</v>
      </c>
      <c r="E42" s="193"/>
      <c r="F42" s="194">
        <f>$D42</f>
        <v>6000</v>
      </c>
      <c r="G42" s="195"/>
      <c r="H42" s="194"/>
      <c r="I42" s="194"/>
      <c r="J42" s="194"/>
      <c r="K42" s="195"/>
      <c r="L42" s="195"/>
      <c r="M42" s="194"/>
      <c r="N42" s="194"/>
      <c r="O42" s="194"/>
      <c r="P42" s="194"/>
      <c r="Q42" s="194"/>
      <c r="R42" s="195"/>
      <c r="S42" s="194"/>
      <c r="T42" s="194"/>
      <c r="U42" s="194"/>
      <c r="V42" s="195"/>
      <c r="W42" s="194"/>
      <c r="X42" s="194"/>
      <c r="Y42" s="194"/>
      <c r="Z42" s="194"/>
      <c r="AA42" s="194"/>
      <c r="AB42" s="194"/>
      <c r="AC42" s="194"/>
      <c r="AD42" s="194"/>
      <c r="AE42" s="194"/>
    </row>
    <row r="43" spans="1:31" ht="13.25" customHeight="1">
      <c r="A43" s="189">
        <v>43684</v>
      </c>
      <c r="B43" s="190" t="s">
        <v>124</v>
      </c>
      <c r="C43" s="191" t="s">
        <v>232</v>
      </c>
      <c r="D43" s="192">
        <v>200</v>
      </c>
      <c r="E43" s="202" t="s">
        <v>251</v>
      </c>
      <c r="F43" s="194"/>
      <c r="G43" s="195"/>
      <c r="H43" s="194"/>
      <c r="I43" s="194"/>
      <c r="J43" s="194"/>
      <c r="K43" s="195"/>
      <c r="L43" s="195"/>
      <c r="M43" s="194"/>
      <c r="N43" s="194"/>
      <c r="O43" s="194"/>
      <c r="P43" s="194">
        <f>$D43</f>
        <v>200</v>
      </c>
      <c r="Q43" s="194"/>
      <c r="R43" s="195"/>
      <c r="S43" s="194"/>
      <c r="T43" s="194"/>
      <c r="U43" s="194"/>
      <c r="V43" s="195"/>
      <c r="W43" s="194"/>
      <c r="X43" s="194"/>
      <c r="Y43" s="194"/>
      <c r="Z43" s="194"/>
      <c r="AA43" s="194"/>
      <c r="AB43" s="194"/>
      <c r="AC43" s="194"/>
      <c r="AD43" s="194"/>
      <c r="AE43" s="194"/>
    </row>
    <row r="44" spans="1:31" ht="13.25" customHeight="1">
      <c r="A44" s="189">
        <v>43678</v>
      </c>
      <c r="B44" s="190" t="s">
        <v>149</v>
      </c>
      <c r="C44" s="191" t="s">
        <v>150</v>
      </c>
      <c r="D44" s="192">
        <v>75</v>
      </c>
      <c r="E44" s="193"/>
      <c r="F44" s="194"/>
      <c r="G44" s="195"/>
      <c r="H44" s="194"/>
      <c r="I44" s="194"/>
      <c r="J44" s="194"/>
      <c r="K44" s="195"/>
      <c r="L44" s="195"/>
      <c r="M44" s="194"/>
      <c r="N44" s="194"/>
      <c r="O44" s="194"/>
      <c r="P44" s="194"/>
      <c r="Q44" s="194"/>
      <c r="R44" s="195"/>
      <c r="S44" s="194"/>
      <c r="T44" s="194"/>
      <c r="U44" s="194"/>
      <c r="V44" s="195"/>
      <c r="W44" s="194"/>
      <c r="X44" s="194"/>
      <c r="Y44" s="194"/>
      <c r="Z44" s="194">
        <f>$D44</f>
        <v>75</v>
      </c>
      <c r="AA44" s="194"/>
      <c r="AB44" s="194"/>
      <c r="AC44" s="194"/>
      <c r="AD44" s="194"/>
      <c r="AE44" s="194"/>
    </row>
    <row r="45" spans="1:31" ht="13.25" customHeight="1">
      <c r="A45" s="189">
        <v>43647</v>
      </c>
      <c r="B45" s="190" t="s">
        <v>149</v>
      </c>
      <c r="C45" s="191" t="s">
        <v>150</v>
      </c>
      <c r="D45" s="192">
        <v>75</v>
      </c>
      <c r="E45" s="193"/>
      <c r="F45" s="194"/>
      <c r="G45" s="195"/>
      <c r="H45" s="194"/>
      <c r="I45" s="194"/>
      <c r="J45" s="194"/>
      <c r="K45" s="195"/>
      <c r="L45" s="195"/>
      <c r="M45" s="194"/>
      <c r="N45" s="194"/>
      <c r="O45" s="194"/>
      <c r="P45" s="194"/>
      <c r="Q45" s="194"/>
      <c r="R45" s="195"/>
      <c r="S45" s="194"/>
      <c r="T45" s="194"/>
      <c r="U45" s="194"/>
      <c r="V45" s="195"/>
      <c r="W45" s="194"/>
      <c r="X45" s="194"/>
      <c r="Y45" s="194"/>
      <c r="Z45" s="194">
        <f>$D45</f>
        <v>75</v>
      </c>
      <c r="AA45" s="194"/>
      <c r="AB45" s="194"/>
      <c r="AC45" s="194"/>
      <c r="AD45" s="194"/>
      <c r="AE45" s="194"/>
    </row>
    <row r="46" spans="1:31" ht="13.25" customHeight="1">
      <c r="A46" s="189">
        <v>43647</v>
      </c>
      <c r="B46" s="190" t="s">
        <v>149</v>
      </c>
      <c r="C46" s="191" t="s">
        <v>165</v>
      </c>
      <c r="D46" s="192">
        <v>50</v>
      </c>
      <c r="E46" s="193"/>
      <c r="F46" s="194"/>
      <c r="G46" s="195"/>
      <c r="H46" s="194"/>
      <c r="I46" s="194">
        <f>$D46</f>
        <v>50</v>
      </c>
      <c r="J46" s="194"/>
      <c r="K46" s="195"/>
      <c r="L46" s="195"/>
      <c r="M46" s="194"/>
      <c r="N46" s="194"/>
      <c r="O46" s="194"/>
      <c r="P46" s="194"/>
      <c r="Q46" s="194"/>
      <c r="R46" s="195"/>
      <c r="S46" s="194"/>
      <c r="T46" s="194"/>
      <c r="U46" s="194"/>
      <c r="V46" s="195"/>
      <c r="W46" s="194"/>
      <c r="X46" s="194"/>
      <c r="Y46" s="194"/>
      <c r="Z46" s="194"/>
      <c r="AA46" s="194"/>
      <c r="AB46" s="194"/>
      <c r="AC46" s="194"/>
      <c r="AD46" s="194"/>
      <c r="AE46" s="194"/>
    </row>
    <row r="47" spans="1:31" ht="13.25" customHeight="1">
      <c r="A47" s="189">
        <v>43642</v>
      </c>
      <c r="B47" s="190" t="s">
        <v>124</v>
      </c>
      <c r="C47" s="191" t="s">
        <v>252</v>
      </c>
      <c r="D47" s="192">
        <v>206.37</v>
      </c>
      <c r="E47" s="193"/>
      <c r="F47" s="194"/>
      <c r="G47" s="195"/>
      <c r="H47" s="194"/>
      <c r="I47" s="194"/>
      <c r="J47" s="194"/>
      <c r="K47" s="195"/>
      <c r="L47" s="195"/>
      <c r="M47" s="194"/>
      <c r="N47" s="194">
        <f>$D47</f>
        <v>206.37</v>
      </c>
      <c r="O47" s="194"/>
      <c r="P47" s="194"/>
      <c r="Q47" s="194"/>
      <c r="R47" s="195"/>
      <c r="S47" s="194"/>
      <c r="T47" s="194"/>
      <c r="U47" s="194"/>
      <c r="V47" s="195"/>
      <c r="W47" s="194"/>
      <c r="X47" s="194"/>
      <c r="Y47" s="194"/>
      <c r="Z47" s="194"/>
      <c r="AA47" s="194"/>
      <c r="AB47" s="194"/>
      <c r="AC47" s="194"/>
      <c r="AD47" s="194"/>
      <c r="AE47" s="194"/>
    </row>
    <row r="48" spans="1:31" ht="13.25" customHeight="1">
      <c r="A48" s="189">
        <v>43642</v>
      </c>
      <c r="B48" s="190" t="s">
        <v>124</v>
      </c>
      <c r="C48" s="191" t="s">
        <v>253</v>
      </c>
      <c r="D48" s="192">
        <v>150</v>
      </c>
      <c r="E48" s="193"/>
      <c r="F48" s="194"/>
      <c r="G48" s="195"/>
      <c r="H48" s="194"/>
      <c r="I48" s="194"/>
      <c r="J48" s="194"/>
      <c r="K48" s="195"/>
      <c r="L48" s="195"/>
      <c r="M48" s="194"/>
      <c r="N48" s="194">
        <f>$D48</f>
        <v>150</v>
      </c>
      <c r="O48" s="194"/>
      <c r="P48" s="194"/>
      <c r="Q48" s="194"/>
      <c r="R48" s="195"/>
      <c r="S48" s="194"/>
      <c r="T48" s="194"/>
      <c r="U48" s="194"/>
      <c r="V48" s="195"/>
      <c r="W48" s="194"/>
      <c r="X48" s="194"/>
      <c r="Y48" s="194"/>
      <c r="Z48" s="194"/>
      <c r="AA48" s="194"/>
      <c r="AB48" s="194"/>
      <c r="AC48" s="194"/>
      <c r="AD48" s="194"/>
      <c r="AE48" s="194"/>
    </row>
    <row r="49" spans="1:31" ht="13.25" customHeight="1">
      <c r="A49" s="189">
        <v>43640</v>
      </c>
      <c r="B49" s="190" t="s">
        <v>124</v>
      </c>
      <c r="C49" s="191" t="s">
        <v>254</v>
      </c>
      <c r="D49" s="192">
        <v>231.35</v>
      </c>
      <c r="E49" s="193"/>
      <c r="F49" s="194"/>
      <c r="G49" s="195"/>
      <c r="H49" s="194"/>
      <c r="I49" s="194"/>
      <c r="J49" s="194"/>
      <c r="K49" s="195"/>
      <c r="L49" s="195"/>
      <c r="M49" s="194"/>
      <c r="N49" s="194">
        <v>210.35</v>
      </c>
      <c r="O49" s="194"/>
      <c r="P49" s="194">
        <v>21</v>
      </c>
      <c r="Q49" s="194"/>
      <c r="R49" s="195"/>
      <c r="S49" s="194"/>
      <c r="T49" s="194"/>
      <c r="U49" s="194"/>
      <c r="V49" s="195"/>
      <c r="W49" s="194"/>
      <c r="X49" s="194"/>
      <c r="Y49" s="194"/>
      <c r="Z49" s="194"/>
      <c r="AA49" s="194"/>
      <c r="AB49" s="194"/>
      <c r="AC49" s="194"/>
      <c r="AD49" s="194"/>
      <c r="AE49" s="194"/>
    </row>
    <row r="50" spans="1:31" ht="13.25" customHeight="1">
      <c r="A50" s="189">
        <v>43630</v>
      </c>
      <c r="B50" s="190" t="s">
        <v>124</v>
      </c>
      <c r="C50" s="191" t="s">
        <v>255</v>
      </c>
      <c r="D50" s="192">
        <v>500</v>
      </c>
      <c r="E50" s="193"/>
      <c r="F50" s="194"/>
      <c r="G50" s="195"/>
      <c r="H50" s="194"/>
      <c r="I50" s="194"/>
      <c r="J50" s="194"/>
      <c r="K50" s="195"/>
      <c r="L50" s="195"/>
      <c r="M50" s="194"/>
      <c r="N50" s="194">
        <f>$D50</f>
        <v>500</v>
      </c>
      <c r="O50" s="194"/>
      <c r="P50" s="194"/>
      <c r="Q50" s="194"/>
      <c r="R50" s="195"/>
      <c r="S50" s="194"/>
      <c r="T50" s="194"/>
      <c r="U50" s="194"/>
      <c r="V50" s="195"/>
      <c r="W50" s="194"/>
      <c r="X50" s="194"/>
      <c r="Y50" s="194"/>
      <c r="Z50" s="194"/>
      <c r="AA50" s="194"/>
      <c r="AB50" s="194"/>
      <c r="AC50" s="194"/>
      <c r="AD50" s="194"/>
      <c r="AE50" s="194"/>
    </row>
    <row r="51" spans="1:31" ht="13.25" customHeight="1">
      <c r="A51" s="189">
        <v>43623</v>
      </c>
      <c r="B51" s="190" t="s">
        <v>153</v>
      </c>
      <c r="C51" s="191" t="s">
        <v>188</v>
      </c>
      <c r="D51" s="192">
        <v>141.6</v>
      </c>
      <c r="E51" s="207" t="s">
        <v>256</v>
      </c>
      <c r="F51" s="194"/>
      <c r="G51" s="195"/>
      <c r="H51" s="194"/>
      <c r="I51" s="194"/>
      <c r="J51" s="194"/>
      <c r="K51" s="195"/>
      <c r="L51" s="195"/>
      <c r="M51" s="194"/>
      <c r="N51" s="194"/>
      <c r="O51" s="194"/>
      <c r="P51" s="194"/>
      <c r="Q51" s="194"/>
      <c r="R51" s="195"/>
      <c r="S51" s="194"/>
      <c r="T51" s="194"/>
      <c r="U51" s="194"/>
      <c r="V51" s="195"/>
      <c r="W51" s="194"/>
      <c r="X51" s="194"/>
      <c r="Y51" s="194"/>
      <c r="Z51" s="194"/>
      <c r="AA51" s="194"/>
      <c r="AB51" s="194"/>
      <c r="AC51" s="194"/>
      <c r="AD51" s="194">
        <f>$D51</f>
        <v>141.6</v>
      </c>
      <c r="AE51" s="194"/>
    </row>
    <row r="52" spans="1:31" ht="13.25" customHeight="1">
      <c r="A52" s="189">
        <v>43619</v>
      </c>
      <c r="B52" s="190" t="s">
        <v>149</v>
      </c>
      <c r="C52" s="191" t="s">
        <v>150</v>
      </c>
      <c r="D52" s="192">
        <v>75</v>
      </c>
      <c r="E52" s="193"/>
      <c r="F52" s="194"/>
      <c r="G52" s="195"/>
      <c r="H52" s="194"/>
      <c r="I52" s="194"/>
      <c r="J52" s="194"/>
      <c r="K52" s="195"/>
      <c r="L52" s="195"/>
      <c r="M52" s="194"/>
      <c r="N52" s="194"/>
      <c r="O52" s="194"/>
      <c r="P52" s="194"/>
      <c r="Q52" s="194"/>
      <c r="R52" s="195"/>
      <c r="S52" s="194"/>
      <c r="T52" s="194"/>
      <c r="U52" s="194"/>
      <c r="V52" s="195"/>
      <c r="W52" s="194"/>
      <c r="X52" s="194"/>
      <c r="Y52" s="194"/>
      <c r="Z52" s="194">
        <f>$D52</f>
        <v>75</v>
      </c>
      <c r="AA52" s="194"/>
      <c r="AB52" s="194"/>
      <c r="AC52" s="194"/>
      <c r="AD52" s="194"/>
      <c r="AE52" s="194"/>
    </row>
    <row r="53" spans="1:31" ht="13.25" customHeight="1">
      <c r="A53" s="189">
        <v>43615</v>
      </c>
      <c r="B53" s="190" t="s">
        <v>124</v>
      </c>
      <c r="C53" s="191" t="s">
        <v>157</v>
      </c>
      <c r="D53" s="192">
        <v>360.61</v>
      </c>
      <c r="E53" s="193"/>
      <c r="F53" s="194"/>
      <c r="G53" s="195"/>
      <c r="H53" s="194"/>
      <c r="I53" s="194">
        <v>212.64</v>
      </c>
      <c r="J53" s="194"/>
      <c r="K53" s="195"/>
      <c r="L53" s="195"/>
      <c r="M53" s="194"/>
      <c r="N53" s="194"/>
      <c r="O53" s="194"/>
      <c r="P53" s="194"/>
      <c r="Q53" s="194"/>
      <c r="R53" s="195"/>
      <c r="S53" s="194"/>
      <c r="T53" s="194"/>
      <c r="U53" s="194"/>
      <c r="V53" s="195">
        <v>65.92</v>
      </c>
      <c r="W53" s="194"/>
      <c r="X53" s="194">
        <v>82.05</v>
      </c>
      <c r="Y53" s="194"/>
      <c r="Z53" s="194"/>
      <c r="AA53" s="194"/>
      <c r="AB53" s="194"/>
      <c r="AC53" s="194"/>
      <c r="AD53" s="194"/>
      <c r="AE53" s="194"/>
    </row>
    <row r="54" spans="1:31" ht="24" customHeight="1">
      <c r="A54" s="189">
        <v>43599</v>
      </c>
      <c r="B54" s="190" t="s">
        <v>124</v>
      </c>
      <c r="C54" s="191" t="s">
        <v>147</v>
      </c>
      <c r="D54" s="192">
        <v>192.6</v>
      </c>
      <c r="E54" s="202" t="s">
        <v>257</v>
      </c>
      <c r="F54" s="194"/>
      <c r="G54" s="195">
        <f>(110)*0.9</f>
        <v>99</v>
      </c>
      <c r="H54" s="8"/>
      <c r="I54" s="194"/>
      <c r="J54" s="194">
        <f>42*0.9</f>
        <v>37.800000000000004</v>
      </c>
      <c r="K54" s="195"/>
      <c r="L54" s="195"/>
      <c r="M54" s="194"/>
      <c r="N54" s="194"/>
      <c r="O54" s="194"/>
      <c r="P54" s="194"/>
      <c r="Q54" s="194"/>
      <c r="R54" s="195"/>
      <c r="S54" s="194">
        <f>15*0.9</f>
        <v>13.5</v>
      </c>
      <c r="T54" s="194"/>
      <c r="U54" s="194"/>
      <c r="V54" s="195">
        <f>(20*0.9)</f>
        <v>18</v>
      </c>
      <c r="W54" s="194"/>
      <c r="X54" s="194">
        <f t="shared" si="0"/>
        <v>24.3</v>
      </c>
      <c r="Y54" s="194"/>
      <c r="Z54" s="194"/>
      <c r="AA54" s="194"/>
      <c r="AB54" s="194"/>
      <c r="AC54" s="194"/>
      <c r="AD54" s="194"/>
      <c r="AE54" s="194"/>
    </row>
    <row r="55" spans="1:31" ht="13.25" customHeight="1">
      <c r="A55" s="189">
        <v>43599</v>
      </c>
      <c r="B55" s="190" t="s">
        <v>124</v>
      </c>
      <c r="C55" s="191" t="s">
        <v>250</v>
      </c>
      <c r="D55" s="192">
        <v>3000</v>
      </c>
      <c r="E55" s="193"/>
      <c r="F55" s="194">
        <f>$D55</f>
        <v>3000</v>
      </c>
      <c r="G55" s="195"/>
      <c r="H55" s="194"/>
      <c r="I55" s="194"/>
      <c r="J55" s="194"/>
      <c r="K55" s="195"/>
      <c r="L55" s="195"/>
      <c r="M55" s="194"/>
      <c r="N55" s="194"/>
      <c r="O55" s="194"/>
      <c r="P55" s="194"/>
      <c r="Q55" s="194"/>
      <c r="R55" s="195"/>
      <c r="S55" s="194"/>
      <c r="T55" s="194"/>
      <c r="U55" s="194"/>
      <c r="V55" s="195"/>
      <c r="W55" s="194"/>
      <c r="X55" s="194"/>
      <c r="Y55" s="194"/>
      <c r="Z55" s="194"/>
      <c r="AA55" s="194"/>
      <c r="AB55" s="194"/>
      <c r="AC55" s="194"/>
      <c r="AD55" s="194"/>
      <c r="AE55" s="194"/>
    </row>
    <row r="56" spans="1:31" ht="13.25" customHeight="1">
      <c r="A56" s="189">
        <v>43594</v>
      </c>
      <c r="B56" s="190" t="s">
        <v>124</v>
      </c>
      <c r="C56" s="191" t="s">
        <v>258</v>
      </c>
      <c r="D56" s="192">
        <v>864</v>
      </c>
      <c r="E56" s="202" t="s">
        <v>259</v>
      </c>
      <c r="F56" s="194"/>
      <c r="G56" s="195"/>
      <c r="H56" s="194"/>
      <c r="I56" s="194"/>
      <c r="J56" s="194"/>
      <c r="K56" s="195"/>
      <c r="L56" s="195"/>
      <c r="M56" s="194"/>
      <c r="N56" s="194"/>
      <c r="O56" s="194"/>
      <c r="P56" s="194"/>
      <c r="Q56" s="194"/>
      <c r="R56" s="195"/>
      <c r="S56" s="194"/>
      <c r="T56" s="194"/>
      <c r="U56" s="194"/>
      <c r="V56" s="195"/>
      <c r="W56" s="194"/>
      <c r="X56" s="194"/>
      <c r="Y56" s="194"/>
      <c r="Z56" s="194"/>
      <c r="AA56" s="194"/>
      <c r="AB56" s="194"/>
      <c r="AC56" s="194">
        <f>$D56</f>
        <v>864</v>
      </c>
      <c r="AD56" s="194"/>
      <c r="AE56" s="194"/>
    </row>
    <row r="57" spans="1:31" ht="13.25" customHeight="1">
      <c r="A57" s="189">
        <v>43588</v>
      </c>
      <c r="B57" s="190" t="s">
        <v>153</v>
      </c>
      <c r="C57" s="191" t="s">
        <v>188</v>
      </c>
      <c r="D57" s="192">
        <v>13.2</v>
      </c>
      <c r="E57" s="193"/>
      <c r="F57" s="194"/>
      <c r="G57" s="195"/>
      <c r="H57" s="194"/>
      <c r="I57" s="194"/>
      <c r="J57" s="194"/>
      <c r="K57" s="195"/>
      <c r="L57" s="195"/>
      <c r="M57" s="194"/>
      <c r="N57" s="194"/>
      <c r="O57" s="194"/>
      <c r="P57" s="194"/>
      <c r="Q57" s="194"/>
      <c r="R57" s="195"/>
      <c r="S57" s="194"/>
      <c r="T57" s="194"/>
      <c r="U57" s="194"/>
      <c r="V57" s="195"/>
      <c r="W57" s="194"/>
      <c r="X57" s="194"/>
      <c r="Y57" s="194"/>
      <c r="Z57" s="194"/>
      <c r="AA57" s="194"/>
      <c r="AB57" s="194"/>
      <c r="AC57" s="194"/>
      <c r="AD57" s="194">
        <f>$D57</f>
        <v>13.2</v>
      </c>
      <c r="AE57" s="194"/>
    </row>
    <row r="58" spans="1:31" ht="13.25" customHeight="1">
      <c r="A58" s="189">
        <v>43586</v>
      </c>
      <c r="B58" s="190" t="s">
        <v>149</v>
      </c>
      <c r="C58" s="191" t="s">
        <v>150</v>
      </c>
      <c r="D58" s="192">
        <v>75</v>
      </c>
      <c r="E58" s="193"/>
      <c r="F58" s="194"/>
      <c r="G58" s="195"/>
      <c r="H58" s="194"/>
      <c r="I58" s="194"/>
      <c r="J58" s="194"/>
      <c r="K58" s="195"/>
      <c r="L58" s="195"/>
      <c r="M58" s="194"/>
      <c r="N58" s="194"/>
      <c r="O58" s="194"/>
      <c r="P58" s="194"/>
      <c r="Q58" s="194"/>
      <c r="R58" s="195"/>
      <c r="S58" s="194"/>
      <c r="T58" s="194"/>
      <c r="U58" s="194"/>
      <c r="V58" s="195"/>
      <c r="W58" s="194"/>
      <c r="X58" s="194"/>
      <c r="Y58" s="194"/>
      <c r="Z58" s="194">
        <f>$D58</f>
        <v>75</v>
      </c>
      <c r="AA58" s="194"/>
      <c r="AB58" s="194"/>
      <c r="AC58" s="194"/>
      <c r="AD58" s="194"/>
      <c r="AE58" s="194"/>
    </row>
    <row r="59" spans="1:31" ht="13.25" customHeight="1">
      <c r="A59" s="189">
        <v>43572</v>
      </c>
      <c r="B59" s="190" t="s">
        <v>124</v>
      </c>
      <c r="C59" s="191" t="s">
        <v>232</v>
      </c>
      <c r="D59" s="192">
        <v>55.4</v>
      </c>
      <c r="E59" s="193"/>
      <c r="F59" s="194"/>
      <c r="G59" s="195"/>
      <c r="H59" s="194"/>
      <c r="I59" s="194"/>
      <c r="J59" s="194"/>
      <c r="K59" s="195"/>
      <c r="L59" s="195"/>
      <c r="M59" s="194"/>
      <c r="N59" s="194"/>
      <c r="O59" s="194"/>
      <c r="P59" s="194"/>
      <c r="Q59" s="194"/>
      <c r="R59" s="195"/>
      <c r="S59" s="194"/>
      <c r="T59" s="194"/>
      <c r="U59" s="194"/>
      <c r="V59" s="195"/>
      <c r="W59" s="194"/>
      <c r="X59" s="194">
        <f>$D59</f>
        <v>55.4</v>
      </c>
      <c r="Y59" s="194"/>
      <c r="Z59" s="194"/>
      <c r="AA59" s="194"/>
      <c r="AB59" s="194"/>
      <c r="AC59" s="194"/>
      <c r="AD59" s="194"/>
      <c r="AE59" s="194"/>
    </row>
    <row r="60" spans="1:31" ht="13.25" customHeight="1">
      <c r="A60" s="189">
        <v>43571</v>
      </c>
      <c r="B60" s="190" t="s">
        <v>153</v>
      </c>
      <c r="C60" s="191" t="s">
        <v>188</v>
      </c>
      <c r="D60" s="192">
        <v>131.87</v>
      </c>
      <c r="E60" s="193"/>
      <c r="F60" s="194"/>
      <c r="G60" s="195"/>
      <c r="H60" s="194"/>
      <c r="I60" s="194"/>
      <c r="J60" s="194"/>
      <c r="K60" s="195"/>
      <c r="L60" s="195"/>
      <c r="M60" s="194"/>
      <c r="N60" s="194"/>
      <c r="O60" s="194"/>
      <c r="P60" s="194"/>
      <c r="Q60" s="194"/>
      <c r="R60" s="195"/>
      <c r="S60" s="194"/>
      <c r="T60" s="194"/>
      <c r="U60" s="194"/>
      <c r="V60" s="195"/>
      <c r="W60" s="194"/>
      <c r="X60" s="194"/>
      <c r="Y60" s="194"/>
      <c r="Z60" s="194"/>
      <c r="AA60" s="194"/>
      <c r="AB60" s="194"/>
      <c r="AC60" s="194"/>
      <c r="AD60" s="194">
        <f>$D60</f>
        <v>131.87</v>
      </c>
      <c r="AE60" s="194"/>
    </row>
    <row r="61" spans="1:31" ht="13.25" customHeight="1">
      <c r="A61" s="189"/>
      <c r="B61" s="190"/>
      <c r="C61" s="208" t="s">
        <v>221</v>
      </c>
      <c r="D61" s="192">
        <f>SUM($D5:$D60)</f>
        <v>25136.969999999994</v>
      </c>
      <c r="E61" s="193"/>
      <c r="F61" s="194">
        <f t="shared" ref="F61:AE61" si="1">SUM(F5:F60)</f>
        <v>13900</v>
      </c>
      <c r="G61" s="195">
        <f t="shared" si="1"/>
        <v>283.5</v>
      </c>
      <c r="H61" s="194">
        <f t="shared" si="1"/>
        <v>0</v>
      </c>
      <c r="I61" s="194">
        <f t="shared" si="1"/>
        <v>362.64</v>
      </c>
      <c r="J61" s="194">
        <f t="shared" si="1"/>
        <v>105.75</v>
      </c>
      <c r="K61" s="195">
        <f t="shared" si="1"/>
        <v>131.05000000000001</v>
      </c>
      <c r="L61" s="195">
        <f t="shared" si="1"/>
        <v>236.82</v>
      </c>
      <c r="M61" s="194">
        <f t="shared" si="1"/>
        <v>269.8</v>
      </c>
      <c r="N61" s="194">
        <f t="shared" si="1"/>
        <v>1230.23</v>
      </c>
      <c r="O61" s="194">
        <f t="shared" si="1"/>
        <v>24.3</v>
      </c>
      <c r="P61" s="194">
        <f t="shared" si="1"/>
        <v>221</v>
      </c>
      <c r="Q61" s="194">
        <f t="shared" si="1"/>
        <v>277.88</v>
      </c>
      <c r="R61" s="195">
        <f t="shared" si="1"/>
        <v>639.40000000000009</v>
      </c>
      <c r="S61" s="194">
        <f t="shared" si="1"/>
        <v>94.88</v>
      </c>
      <c r="T61" s="194">
        <f t="shared" si="1"/>
        <v>2932.65</v>
      </c>
      <c r="U61" s="194">
        <f t="shared" si="1"/>
        <v>448</v>
      </c>
      <c r="V61" s="195">
        <f t="shared" si="1"/>
        <v>149.57</v>
      </c>
      <c r="W61" s="194">
        <f t="shared" si="1"/>
        <v>1188</v>
      </c>
      <c r="X61" s="194">
        <f t="shared" si="1"/>
        <v>182.35</v>
      </c>
      <c r="Y61" s="194">
        <f t="shared" si="1"/>
        <v>115.97999999999999</v>
      </c>
      <c r="Z61" s="194">
        <f t="shared" si="1"/>
        <v>975</v>
      </c>
      <c r="AA61" s="194">
        <f t="shared" si="1"/>
        <v>112.5</v>
      </c>
      <c r="AB61" s="194">
        <f t="shared" si="1"/>
        <v>0</v>
      </c>
      <c r="AC61" s="194">
        <f t="shared" si="1"/>
        <v>864</v>
      </c>
      <c r="AD61" s="194">
        <f t="shared" si="1"/>
        <v>286.66999999999996</v>
      </c>
      <c r="AE61" s="194">
        <f t="shared" si="1"/>
        <v>105</v>
      </c>
    </row>
    <row r="62" spans="1:31" ht="13.25" customHeight="1">
      <c r="A62" s="189"/>
      <c r="B62" s="190"/>
      <c r="C62" s="208" t="s">
        <v>222</v>
      </c>
      <c r="D62" s="192">
        <f>SUM(F61:AE61)</f>
        <v>25136.969999999998</v>
      </c>
      <c r="E62" s="193">
        <f>$D61-$D62</f>
        <v>0</v>
      </c>
      <c r="F62" s="194"/>
      <c r="G62" s="195"/>
      <c r="H62" s="194"/>
      <c r="I62" s="194"/>
      <c r="J62" s="194"/>
      <c r="K62" s="195"/>
      <c r="L62" s="195"/>
      <c r="M62" s="194"/>
      <c r="N62" s="194"/>
      <c r="O62" s="194"/>
      <c r="P62" s="194"/>
      <c r="Q62" s="194"/>
      <c r="R62" s="195"/>
      <c r="S62" s="194"/>
      <c r="T62" s="194"/>
      <c r="U62" s="194"/>
      <c r="V62" s="195"/>
      <c r="W62" s="194"/>
      <c r="X62" s="194"/>
      <c r="Y62" s="194"/>
      <c r="Z62" s="194"/>
      <c r="AA62" s="194"/>
      <c r="AB62" s="194"/>
      <c r="AC62" s="194"/>
      <c r="AD62" s="194"/>
      <c r="AE62" s="194"/>
    </row>
    <row r="63" spans="1:31" ht="13.25" customHeight="1">
      <c r="A63" s="95" t="s">
        <v>223</v>
      </c>
      <c r="B63" s="190"/>
      <c r="C63" s="191"/>
      <c r="D63" s="192"/>
      <c r="E63" s="193"/>
      <c r="F63" s="194"/>
      <c r="G63" s="195"/>
      <c r="H63" s="194"/>
      <c r="I63" s="194"/>
      <c r="J63" s="194"/>
      <c r="K63" s="195"/>
      <c r="L63" s="195"/>
      <c r="M63" s="194"/>
      <c r="N63" s="194"/>
      <c r="O63" s="194"/>
      <c r="P63" s="194"/>
      <c r="Q63" s="194"/>
      <c r="R63" s="195"/>
      <c r="S63" s="194"/>
      <c r="T63" s="194"/>
      <c r="U63" s="194"/>
      <c r="V63" s="195"/>
      <c r="W63" s="194"/>
      <c r="X63" s="194"/>
      <c r="Y63" s="194"/>
      <c r="Z63" s="194"/>
      <c r="AA63" s="194"/>
      <c r="AB63" s="194"/>
      <c r="AC63" s="194"/>
      <c r="AD63" s="194"/>
      <c r="AE63" s="194"/>
    </row>
    <row r="64" spans="1:31" ht="13.25" customHeight="1">
      <c r="A64" s="87" t="s">
        <v>260</v>
      </c>
      <c r="B64" s="190"/>
      <c r="C64" s="191"/>
      <c r="D64" s="192">
        <f>'Income TNRA 2019 to 2020'!$D86</f>
        <v>4.93</v>
      </c>
      <c r="E64" s="193"/>
      <c r="F64" s="194"/>
      <c r="G64" s="195">
        <f>$D64</f>
        <v>4.93</v>
      </c>
      <c r="H64" s="194"/>
      <c r="I64" s="194"/>
      <c r="J64" s="194"/>
      <c r="K64" s="195"/>
      <c r="L64" s="195"/>
      <c r="M64" s="194"/>
      <c r="N64" s="194"/>
      <c r="O64" s="194"/>
      <c r="P64" s="194"/>
      <c r="Q64" s="194"/>
      <c r="R64" s="195"/>
      <c r="S64" s="194"/>
      <c r="T64" s="194"/>
      <c r="U64" s="194"/>
      <c r="V64" s="195"/>
      <c r="W64" s="194"/>
      <c r="X64" s="194"/>
      <c r="Y64" s="194"/>
      <c r="Z64" s="194"/>
      <c r="AA64" s="194"/>
      <c r="AB64" s="194"/>
      <c r="AC64" s="194"/>
      <c r="AD64" s="194"/>
      <c r="AE64" s="194"/>
    </row>
    <row r="65" spans="1:31" ht="22.25" customHeight="1">
      <c r="A65" s="87" t="s">
        <v>261</v>
      </c>
      <c r="B65" s="190" t="s">
        <v>82</v>
      </c>
      <c r="C65" s="191"/>
      <c r="D65" s="192">
        <f>26.79+60.1</f>
        <v>86.89</v>
      </c>
      <c r="E65" s="193"/>
      <c r="F65" s="194"/>
      <c r="G65" s="195"/>
      <c r="H65" s="194"/>
      <c r="I65" s="194"/>
      <c r="J65" s="194"/>
      <c r="K65" s="195"/>
      <c r="L65" s="195"/>
      <c r="M65" s="194"/>
      <c r="N65" s="194"/>
      <c r="O65" s="194"/>
      <c r="P65" s="194"/>
      <c r="Q65" s="194"/>
      <c r="R65" s="195"/>
      <c r="S65" s="194"/>
      <c r="T65" s="194"/>
      <c r="U65" s="194"/>
      <c r="V65" s="195">
        <f>26.79</f>
        <v>26.79</v>
      </c>
      <c r="W65" s="194"/>
      <c r="X65" s="194">
        <f>60.1</f>
        <v>60.1</v>
      </c>
      <c r="Y65" s="194"/>
      <c r="Z65" s="194"/>
      <c r="AA65" s="194"/>
      <c r="AB65" s="194"/>
      <c r="AC65" s="194"/>
      <c r="AD65" s="194"/>
      <c r="AE65" s="194"/>
    </row>
    <row r="66" spans="1:31" ht="13.25" customHeight="1">
      <c r="A66" s="101"/>
      <c r="B66" s="190" t="s">
        <v>83</v>
      </c>
      <c r="C66" s="191"/>
      <c r="D66" s="192">
        <f>38.37+19.99</f>
        <v>58.36</v>
      </c>
      <c r="E66" s="193"/>
      <c r="F66" s="194"/>
      <c r="G66" s="195"/>
      <c r="H66" s="194"/>
      <c r="I66" s="194"/>
      <c r="J66" s="194"/>
      <c r="K66" s="195"/>
      <c r="L66" s="195"/>
      <c r="M66" s="194"/>
      <c r="N66" s="194"/>
      <c r="O66" s="194"/>
      <c r="P66" s="194"/>
      <c r="Q66" s="194"/>
      <c r="R66" s="195"/>
      <c r="S66" s="194"/>
      <c r="T66" s="194"/>
      <c r="U66" s="194"/>
      <c r="V66" s="195">
        <f>$D66</f>
        <v>58.36</v>
      </c>
      <c r="W66" s="194"/>
      <c r="X66" s="194"/>
      <c r="Y66" s="194"/>
      <c r="Z66" s="194"/>
      <c r="AA66" s="194"/>
      <c r="AB66" s="194"/>
      <c r="AC66" s="194"/>
      <c r="AD66" s="194"/>
      <c r="AE66" s="194"/>
    </row>
    <row r="67" spans="1:31" ht="13.25" customHeight="1">
      <c r="A67" s="101"/>
      <c r="B67" s="190" t="s">
        <v>84</v>
      </c>
      <c r="C67" s="191"/>
      <c r="D67" s="192">
        <v>46</v>
      </c>
      <c r="E67" s="193"/>
      <c r="F67" s="194"/>
      <c r="G67" s="195"/>
      <c r="H67" s="194"/>
      <c r="I67" s="194"/>
      <c r="J67" s="194"/>
      <c r="K67" s="195"/>
      <c r="L67" s="195"/>
      <c r="M67" s="194"/>
      <c r="N67" s="194"/>
      <c r="O67" s="194"/>
      <c r="P67" s="194"/>
      <c r="Q67" s="194"/>
      <c r="R67" s="195"/>
      <c r="S67" s="194"/>
      <c r="T67" s="194"/>
      <c r="U67" s="194"/>
      <c r="V67" s="195">
        <f>20+16.8</f>
        <v>36.799999999999997</v>
      </c>
      <c r="W67" s="194"/>
      <c r="X67" s="194">
        <v>9.1999999999999993</v>
      </c>
      <c r="Y67" s="194"/>
      <c r="Z67" s="194"/>
      <c r="AA67" s="194"/>
      <c r="AB67" s="194"/>
      <c r="AC67" s="194"/>
      <c r="AD67" s="194"/>
      <c r="AE67" s="194"/>
    </row>
    <row r="68" spans="1:31" ht="13.25" customHeight="1">
      <c r="A68" s="101"/>
      <c r="B68" s="190" t="s">
        <v>85</v>
      </c>
      <c r="C68" s="191"/>
      <c r="D68" s="192">
        <f>20+37.96</f>
        <v>57.96</v>
      </c>
      <c r="E68" s="193"/>
      <c r="F68" s="194"/>
      <c r="G68" s="195"/>
      <c r="H68" s="194"/>
      <c r="I68" s="194">
        <f>20</f>
        <v>20</v>
      </c>
      <c r="J68" s="194"/>
      <c r="K68" s="195"/>
      <c r="L68" s="195"/>
      <c r="M68" s="194"/>
      <c r="N68" s="194"/>
      <c r="O68" s="194"/>
      <c r="P68" s="194"/>
      <c r="Q68" s="194"/>
      <c r="R68" s="195"/>
      <c r="S68" s="194"/>
      <c r="T68" s="194"/>
      <c r="U68" s="194"/>
      <c r="V68" s="195">
        <v>37.96</v>
      </c>
      <c r="W68" s="194"/>
      <c r="X68" s="194"/>
      <c r="Y68" s="194"/>
      <c r="Z68" s="194"/>
      <c r="AA68" s="194"/>
      <c r="AB68" s="194"/>
      <c r="AC68" s="194"/>
      <c r="AD68" s="194"/>
      <c r="AE68" s="194"/>
    </row>
    <row r="69" spans="1:31" ht="13.25" customHeight="1">
      <c r="A69" s="101"/>
      <c r="B69" s="190"/>
      <c r="C69" s="191"/>
      <c r="D69" s="192">
        <f>SUM($D62:$D68)</f>
        <v>25391.109999999997</v>
      </c>
      <c r="E69" s="193"/>
      <c r="F69" s="194">
        <f t="shared" ref="F69:AE69" si="2">SUM(F61:F68)</f>
        <v>13900</v>
      </c>
      <c r="G69" s="195">
        <f t="shared" si="2"/>
        <v>288.43</v>
      </c>
      <c r="H69" s="194">
        <f t="shared" si="2"/>
        <v>0</v>
      </c>
      <c r="I69" s="194">
        <f t="shared" si="2"/>
        <v>382.64</v>
      </c>
      <c r="J69" s="194">
        <f t="shared" si="2"/>
        <v>105.75</v>
      </c>
      <c r="K69" s="195">
        <f t="shared" si="2"/>
        <v>131.05000000000001</v>
      </c>
      <c r="L69" s="195">
        <f t="shared" si="2"/>
        <v>236.82</v>
      </c>
      <c r="M69" s="194">
        <f t="shared" si="2"/>
        <v>269.8</v>
      </c>
      <c r="N69" s="194">
        <f t="shared" si="2"/>
        <v>1230.23</v>
      </c>
      <c r="O69" s="194">
        <f t="shared" si="2"/>
        <v>24.3</v>
      </c>
      <c r="P69" s="194">
        <f t="shared" si="2"/>
        <v>221</v>
      </c>
      <c r="Q69" s="194">
        <f t="shared" si="2"/>
        <v>277.88</v>
      </c>
      <c r="R69" s="195">
        <f t="shared" si="2"/>
        <v>639.40000000000009</v>
      </c>
      <c r="S69" s="194">
        <f t="shared" si="2"/>
        <v>94.88</v>
      </c>
      <c r="T69" s="194">
        <f t="shared" si="2"/>
        <v>2932.65</v>
      </c>
      <c r="U69" s="194">
        <f t="shared" si="2"/>
        <v>448</v>
      </c>
      <c r="V69" s="195">
        <f t="shared" si="2"/>
        <v>309.47999999999996</v>
      </c>
      <c r="W69" s="194">
        <f t="shared" si="2"/>
        <v>1188</v>
      </c>
      <c r="X69" s="194">
        <f t="shared" si="2"/>
        <v>251.64999999999998</v>
      </c>
      <c r="Y69" s="194">
        <f t="shared" si="2"/>
        <v>115.97999999999999</v>
      </c>
      <c r="Z69" s="194">
        <f t="shared" si="2"/>
        <v>975</v>
      </c>
      <c r="AA69" s="194">
        <f t="shared" si="2"/>
        <v>112.5</v>
      </c>
      <c r="AB69" s="194">
        <f t="shared" si="2"/>
        <v>0</v>
      </c>
      <c r="AC69" s="194">
        <f t="shared" si="2"/>
        <v>864</v>
      </c>
      <c r="AD69" s="194">
        <f t="shared" si="2"/>
        <v>286.66999999999996</v>
      </c>
      <c r="AE69" s="194">
        <f t="shared" si="2"/>
        <v>105</v>
      </c>
    </row>
    <row r="70" spans="1:31" ht="13.25" customHeight="1">
      <c r="A70" s="101"/>
      <c r="B70" s="190"/>
      <c r="C70" s="208" t="s">
        <v>222</v>
      </c>
      <c r="D70" s="192">
        <f>SUM(F69:AE69)</f>
        <v>25391.11</v>
      </c>
      <c r="E70" s="193"/>
      <c r="F70" s="194"/>
      <c r="G70" s="195"/>
      <c r="H70" s="194"/>
      <c r="I70" s="194"/>
      <c r="J70" s="194"/>
      <c r="K70" s="195"/>
      <c r="L70" s="195"/>
      <c r="M70" s="194"/>
      <c r="N70" s="194"/>
      <c r="O70" s="194"/>
      <c r="P70" s="194"/>
      <c r="Q70" s="194"/>
      <c r="R70" s="195"/>
      <c r="S70" s="194"/>
      <c r="T70" s="194"/>
      <c r="U70" s="194"/>
      <c r="V70" s="195"/>
      <c r="W70" s="194"/>
      <c r="X70" s="194"/>
      <c r="Y70" s="194"/>
      <c r="Z70" s="194"/>
      <c r="AA70" s="194"/>
      <c r="AB70" s="194"/>
      <c r="AC70" s="194"/>
      <c r="AD70" s="194"/>
      <c r="AE70" s="194"/>
    </row>
    <row r="71" spans="1:31" ht="14.25" customHeight="1">
      <c r="A71" s="104"/>
      <c r="B71" s="190"/>
      <c r="C71" s="191"/>
      <c r="D71" s="192"/>
      <c r="E71" s="193"/>
      <c r="F71" s="194"/>
      <c r="G71" s="195"/>
      <c r="H71" s="194"/>
      <c r="I71" s="194"/>
      <c r="J71" s="194"/>
      <c r="K71" s="195"/>
      <c r="L71" s="195"/>
      <c r="M71" s="194"/>
      <c r="N71" s="194"/>
      <c r="O71" s="194"/>
      <c r="P71" s="194"/>
      <c r="Q71" s="194"/>
      <c r="R71" s="195"/>
      <c r="S71" s="194"/>
      <c r="T71" s="194"/>
      <c r="U71" s="194"/>
      <c r="V71" s="195"/>
      <c r="W71" s="194"/>
      <c r="X71" s="194"/>
      <c r="Y71" s="194"/>
      <c r="Z71" s="194"/>
      <c r="AA71" s="194"/>
      <c r="AB71" s="194"/>
      <c r="AC71" s="194"/>
      <c r="AD71" s="194"/>
      <c r="AE71" s="194"/>
    </row>
    <row r="72" spans="1:31" ht="13.25" customHeight="1">
      <c r="A72" s="609" t="s">
        <v>262</v>
      </c>
      <c r="B72" s="603"/>
      <c r="C72" s="603"/>
      <c r="D72" s="192">
        <f>4132.81+159.63</f>
        <v>4292.4400000000005</v>
      </c>
      <c r="E72" s="193"/>
      <c r="F72" s="194">
        <v>4132.8100000000004</v>
      </c>
      <c r="G72" s="195">
        <v>77.8</v>
      </c>
      <c r="H72" s="194"/>
      <c r="I72" s="194"/>
      <c r="J72" s="194"/>
      <c r="K72" s="195"/>
      <c r="L72" s="195"/>
      <c r="M72" s="194"/>
      <c r="N72" s="194"/>
      <c r="O72" s="194"/>
      <c r="P72" s="194"/>
      <c r="Q72" s="194"/>
      <c r="R72" s="195"/>
      <c r="S72" s="194"/>
      <c r="T72" s="194">
        <v>81.83</v>
      </c>
      <c r="U72" s="194"/>
      <c r="V72" s="195"/>
      <c r="W72" s="194"/>
      <c r="X72" s="194"/>
      <c r="Y72" s="194"/>
      <c r="Z72" s="194"/>
      <c r="AA72" s="194"/>
      <c r="AB72" s="194"/>
      <c r="AC72" s="194"/>
      <c r="AD72" s="194"/>
      <c r="AE72" s="194"/>
    </row>
    <row r="73" spans="1:31" ht="13.25" customHeight="1">
      <c r="A73" s="101"/>
      <c r="B73" s="190"/>
      <c r="C73" s="191"/>
      <c r="D73" s="192"/>
      <c r="E73" s="193"/>
      <c r="F73" s="194"/>
      <c r="G73" s="195"/>
      <c r="H73" s="194"/>
      <c r="I73" s="194"/>
      <c r="J73" s="194"/>
      <c r="K73" s="195"/>
      <c r="L73" s="195"/>
      <c r="M73" s="194"/>
      <c r="N73" s="194"/>
      <c r="O73" s="194"/>
      <c r="P73" s="194"/>
      <c r="Q73" s="194"/>
      <c r="R73" s="195"/>
      <c r="S73" s="194"/>
      <c r="T73" s="194"/>
      <c r="U73" s="194"/>
      <c r="V73" s="195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1:31" ht="13.25" customHeight="1">
      <c r="A74" s="101"/>
      <c r="B74" s="190"/>
      <c r="C74" s="191"/>
      <c r="D74" s="192"/>
      <c r="E74" s="193"/>
      <c r="F74" s="194"/>
      <c r="G74" s="195"/>
      <c r="H74" s="194"/>
      <c r="I74" s="194"/>
      <c r="J74" s="194"/>
      <c r="K74" s="195"/>
      <c r="L74" s="195"/>
      <c r="M74" s="194"/>
      <c r="N74" s="194"/>
      <c r="O74" s="194"/>
      <c r="P74" s="194"/>
      <c r="Q74" s="194"/>
      <c r="R74" s="195"/>
      <c r="S74" s="194"/>
      <c r="T74" s="194"/>
      <c r="U74" s="194"/>
      <c r="V74" s="195"/>
      <c r="W74" s="194"/>
      <c r="X74" s="194"/>
      <c r="Y74" s="194"/>
      <c r="Z74" s="194"/>
      <c r="AA74" s="194"/>
      <c r="AB74" s="194"/>
      <c r="AC74" s="194"/>
      <c r="AD74" s="194"/>
      <c r="AE74" s="194"/>
    </row>
    <row r="75" spans="1:31" ht="13.25" customHeight="1">
      <c r="A75" s="103" t="s">
        <v>263</v>
      </c>
      <c r="B75" s="200"/>
      <c r="C75" s="209"/>
      <c r="D75" s="210">
        <f>SUM($D70:$D74)</f>
        <v>29683.550000000003</v>
      </c>
      <c r="E75" s="211"/>
      <c r="F75" s="212">
        <f t="shared" ref="F75:AE75" si="3">SUM(F69:F74)</f>
        <v>18032.810000000001</v>
      </c>
      <c r="G75" s="213">
        <f t="shared" si="3"/>
        <v>366.23</v>
      </c>
      <c r="H75" s="212">
        <f t="shared" si="3"/>
        <v>0</v>
      </c>
      <c r="I75" s="212">
        <f t="shared" si="3"/>
        <v>382.64</v>
      </c>
      <c r="J75" s="212">
        <f t="shared" si="3"/>
        <v>105.75</v>
      </c>
      <c r="K75" s="213">
        <f t="shared" si="3"/>
        <v>131.05000000000001</v>
      </c>
      <c r="L75" s="213">
        <f t="shared" si="3"/>
        <v>236.82</v>
      </c>
      <c r="M75" s="212">
        <f t="shared" si="3"/>
        <v>269.8</v>
      </c>
      <c r="N75" s="212">
        <f t="shared" si="3"/>
        <v>1230.23</v>
      </c>
      <c r="O75" s="212">
        <f t="shared" si="3"/>
        <v>24.3</v>
      </c>
      <c r="P75" s="212">
        <f t="shared" si="3"/>
        <v>221</v>
      </c>
      <c r="Q75" s="212">
        <f t="shared" si="3"/>
        <v>277.88</v>
      </c>
      <c r="R75" s="213">
        <f t="shared" si="3"/>
        <v>639.40000000000009</v>
      </c>
      <c r="S75" s="212">
        <f t="shared" si="3"/>
        <v>94.88</v>
      </c>
      <c r="T75" s="212">
        <f t="shared" si="3"/>
        <v>3014.48</v>
      </c>
      <c r="U75" s="212">
        <f t="shared" si="3"/>
        <v>448</v>
      </c>
      <c r="V75" s="213">
        <f t="shared" si="3"/>
        <v>309.47999999999996</v>
      </c>
      <c r="W75" s="212">
        <f t="shared" si="3"/>
        <v>1188</v>
      </c>
      <c r="X75" s="212">
        <f t="shared" si="3"/>
        <v>251.64999999999998</v>
      </c>
      <c r="Y75" s="212">
        <f t="shared" si="3"/>
        <v>115.97999999999999</v>
      </c>
      <c r="Z75" s="212">
        <f t="shared" si="3"/>
        <v>975</v>
      </c>
      <c r="AA75" s="212">
        <f t="shared" si="3"/>
        <v>112.5</v>
      </c>
      <c r="AB75" s="212">
        <f t="shared" si="3"/>
        <v>0</v>
      </c>
      <c r="AC75" s="212">
        <f t="shared" si="3"/>
        <v>864</v>
      </c>
      <c r="AD75" s="212">
        <f t="shared" si="3"/>
        <v>286.66999999999996</v>
      </c>
      <c r="AE75" s="212">
        <f t="shared" si="3"/>
        <v>105</v>
      </c>
    </row>
    <row r="76" spans="1:31" ht="13.25" customHeight="1">
      <c r="A76" s="103" t="s">
        <v>225</v>
      </c>
      <c r="B76" s="190"/>
      <c r="C76" s="191"/>
      <c r="D76" s="192">
        <f>SUM(F75:AE75)</f>
        <v>29683.55</v>
      </c>
      <c r="E76" s="193">
        <f>$D76-F75</f>
        <v>11650.739999999998</v>
      </c>
      <c r="F76" s="212">
        <f>G75+H75+I75+J75+K75+L75+M75+N75+O75+P75+Q75+R75+S75+T75+U75+V75+W75+X75+Y75+Z75+AA75+AB75+AC75+AD75+AE75</f>
        <v>11650.74</v>
      </c>
      <c r="G76" s="204" t="s">
        <v>79</v>
      </c>
      <c r="H76" s="194"/>
      <c r="I76" s="194"/>
      <c r="J76" s="194"/>
      <c r="K76" s="195"/>
      <c r="L76" s="195"/>
      <c r="M76" s="194"/>
      <c r="N76" s="194"/>
      <c r="O76" s="194"/>
      <c r="P76" s="194"/>
      <c r="Q76" s="194"/>
      <c r="R76" s="195"/>
      <c r="S76" s="194"/>
      <c r="T76" s="194"/>
      <c r="U76" s="194"/>
      <c r="V76" s="195"/>
      <c r="W76" s="194"/>
      <c r="X76" s="194"/>
      <c r="Y76" s="194"/>
      <c r="Z76" s="194"/>
      <c r="AA76" s="194"/>
      <c r="AB76" s="194"/>
      <c r="AC76" s="194"/>
      <c r="AD76" s="194"/>
      <c r="AE76" s="194"/>
    </row>
    <row r="77" spans="1:31" ht="13.25" customHeight="1">
      <c r="A77" s="214"/>
      <c r="B77" s="190"/>
      <c r="C77" s="191"/>
      <c r="D77" s="192"/>
      <c r="E77" s="193"/>
      <c r="F77" s="212"/>
      <c r="G77" s="195"/>
      <c r="H77" s="194"/>
      <c r="I77" s="194"/>
      <c r="J77" s="194"/>
      <c r="K77" s="195"/>
      <c r="L77" s="195"/>
      <c r="M77" s="194"/>
      <c r="N77" s="194"/>
      <c r="O77" s="194"/>
      <c r="P77" s="194"/>
      <c r="Q77" s="194"/>
      <c r="R77" s="195"/>
      <c r="S77" s="194"/>
      <c r="T77" s="194"/>
      <c r="U77" s="194"/>
      <c r="V77" s="195"/>
      <c r="W77" s="194"/>
      <c r="X77" s="194"/>
      <c r="Y77" s="194"/>
      <c r="Z77" s="194"/>
      <c r="AA77" s="194"/>
      <c r="AB77" s="194"/>
      <c r="AC77" s="194"/>
      <c r="AD77" s="194"/>
      <c r="AE77" s="194"/>
    </row>
  </sheetData>
  <mergeCells count="2">
    <mergeCell ref="A1:AE1"/>
    <mergeCell ref="A72:C72"/>
  </mergeCells>
  <pageMargins left="0.25" right="0" top="0" bottom="0" header="0.5" footer="0"/>
  <pageSetup orientation="landscape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5"/>
  <sheetViews>
    <sheetView showGridLines="0" workbookViewId="0">
      <selection activeCell="J11" sqref="J11"/>
    </sheetView>
  </sheetViews>
  <sheetFormatPr baseColWidth="10" defaultColWidth="16.33203125" defaultRowHeight="21.25" customHeight="1"/>
  <cols>
    <col min="1" max="1" width="12.83203125" style="1" customWidth="1"/>
    <col min="2" max="2" width="6.83203125" style="1" customWidth="1"/>
    <col min="3" max="3" width="20.5" style="1" customWidth="1"/>
    <col min="4" max="4" width="8.6640625" style="1" customWidth="1"/>
    <col min="5" max="5" width="12.5" style="1" customWidth="1"/>
    <col min="6" max="6" width="8.5" style="1" customWidth="1"/>
    <col min="7" max="7" width="10" style="1" customWidth="1"/>
    <col min="8" max="8" width="8" style="1" customWidth="1"/>
    <col min="9" max="9" width="7.33203125" style="1" customWidth="1"/>
    <col min="10" max="10" width="6" style="1" customWidth="1"/>
    <col min="11" max="11" width="8.33203125" style="1" customWidth="1"/>
    <col min="12" max="12" width="8" style="1" customWidth="1"/>
    <col min="13" max="13" width="7" style="1" customWidth="1"/>
    <col min="14" max="14" width="5.6640625" style="1" customWidth="1"/>
    <col min="15" max="16" width="7.33203125" style="1" customWidth="1"/>
    <col min="17" max="17" width="7.6640625" style="1" customWidth="1"/>
    <col min="18" max="18" width="5" style="1" customWidth="1"/>
    <col min="19" max="20" width="7.5" style="1" customWidth="1"/>
    <col min="21" max="21" width="16.33203125" style="1" customWidth="1"/>
    <col min="22" max="16384" width="16.33203125" style="1"/>
  </cols>
  <sheetData>
    <row r="1" spans="1:20" ht="28.75" customHeight="1">
      <c r="A1" s="621" t="s">
        <v>264</v>
      </c>
      <c r="B1" s="622"/>
      <c r="C1" s="622"/>
      <c r="D1" s="622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4"/>
    </row>
    <row r="2" spans="1:20" ht="16.25" customHeight="1">
      <c r="A2" s="134"/>
      <c r="B2" s="215"/>
      <c r="C2" s="216"/>
      <c r="D2" s="217"/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26.75" customHeight="1">
      <c r="A3" s="135"/>
      <c r="B3" s="220"/>
      <c r="C3" s="221" t="s">
        <v>63</v>
      </c>
      <c r="D3" s="222"/>
      <c r="E3" s="218"/>
      <c r="F3" s="223" t="s">
        <v>64</v>
      </c>
      <c r="G3" s="223" t="s">
        <v>65</v>
      </c>
      <c r="H3" s="224" t="s">
        <v>66</v>
      </c>
      <c r="I3" s="225"/>
      <c r="J3" s="225"/>
      <c r="K3" s="225"/>
      <c r="L3" s="225"/>
      <c r="M3" s="223" t="s">
        <v>16</v>
      </c>
      <c r="N3" s="223"/>
      <c r="O3" s="223"/>
      <c r="P3" s="225"/>
      <c r="Q3" s="225"/>
      <c r="R3" s="219"/>
      <c r="S3" s="219"/>
      <c r="T3" s="219"/>
    </row>
    <row r="4" spans="1:20" ht="29" customHeight="1">
      <c r="A4" s="226"/>
      <c r="B4" s="227"/>
      <c r="C4" s="228"/>
      <c r="D4" s="229"/>
      <c r="E4" s="230"/>
      <c r="F4" s="231"/>
      <c r="G4" s="231"/>
      <c r="H4" s="223" t="s">
        <v>71</v>
      </c>
      <c r="I4" s="223" t="s">
        <v>10</v>
      </c>
      <c r="J4" s="223" t="s">
        <v>72</v>
      </c>
      <c r="K4" s="223" t="s">
        <v>73</v>
      </c>
      <c r="L4" s="223" t="s">
        <v>15</v>
      </c>
      <c r="M4" s="232" t="s">
        <v>13</v>
      </c>
      <c r="N4" s="232" t="s">
        <v>74</v>
      </c>
      <c r="O4" s="232" t="s">
        <v>17</v>
      </c>
      <c r="P4" s="232" t="s">
        <v>37</v>
      </c>
      <c r="Q4" s="232" t="s">
        <v>21</v>
      </c>
      <c r="R4" s="232" t="s">
        <v>22</v>
      </c>
      <c r="S4" s="232" t="s">
        <v>75</v>
      </c>
      <c r="T4" s="232" t="s">
        <v>76</v>
      </c>
    </row>
    <row r="5" spans="1:20" ht="16.25" customHeight="1">
      <c r="A5" s="626" t="s">
        <v>265</v>
      </c>
      <c r="B5" s="627"/>
      <c r="C5" s="628"/>
      <c r="D5" s="233"/>
      <c r="E5" s="234"/>
      <c r="F5" s="235"/>
      <c r="G5" s="235"/>
      <c r="H5" s="236"/>
      <c r="I5" s="236"/>
      <c r="J5" s="236"/>
      <c r="K5" s="236"/>
      <c r="L5" s="236"/>
      <c r="M5" s="235"/>
      <c r="N5" s="235"/>
      <c r="O5" s="235"/>
      <c r="P5" s="235"/>
      <c r="Q5" s="235"/>
      <c r="R5" s="235"/>
      <c r="S5" s="235"/>
      <c r="T5" s="235"/>
    </row>
    <row r="6" spans="1:20" ht="16.25" customHeight="1">
      <c r="A6" s="237">
        <v>43550</v>
      </c>
      <c r="B6" s="238" t="s">
        <v>132</v>
      </c>
      <c r="C6" s="239">
        <v>515003</v>
      </c>
      <c r="D6" s="240">
        <v>88</v>
      </c>
      <c r="E6" s="241"/>
      <c r="F6" s="242"/>
      <c r="G6" s="242"/>
      <c r="H6" s="243"/>
      <c r="I6" s="243"/>
      <c r="J6" s="243"/>
      <c r="K6" s="243"/>
      <c r="L6" s="243"/>
      <c r="M6" s="243"/>
      <c r="N6" s="243"/>
      <c r="O6" s="243"/>
      <c r="P6" s="243"/>
      <c r="Q6" s="243">
        <f>$D6</f>
        <v>88</v>
      </c>
      <c r="R6" s="243"/>
      <c r="S6" s="243"/>
      <c r="T6" s="243"/>
    </row>
    <row r="7" spans="1:20" ht="16.25" customHeight="1">
      <c r="A7" s="237">
        <v>43524</v>
      </c>
      <c r="B7" s="238" t="s">
        <v>109</v>
      </c>
      <c r="C7" s="244" t="s">
        <v>197</v>
      </c>
      <c r="D7" s="240">
        <v>2.25</v>
      </c>
      <c r="E7" s="241"/>
      <c r="F7" s="242">
        <f t="shared" ref="F7:F16" si="0">$D7</f>
        <v>2.25</v>
      </c>
      <c r="G7" s="242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</row>
    <row r="8" spans="1:20" ht="16.25" customHeight="1">
      <c r="A8" s="237">
        <v>43496</v>
      </c>
      <c r="B8" s="238" t="s">
        <v>109</v>
      </c>
      <c r="C8" s="244" t="s">
        <v>198</v>
      </c>
      <c r="D8" s="240">
        <v>2.4900000000000002</v>
      </c>
      <c r="E8" s="241"/>
      <c r="F8" s="242">
        <f t="shared" si="0"/>
        <v>2.4900000000000002</v>
      </c>
      <c r="G8" s="242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</row>
    <row r="9" spans="1:20" ht="16.25" customHeight="1">
      <c r="A9" s="245">
        <v>43465</v>
      </c>
      <c r="B9" s="238" t="s">
        <v>109</v>
      </c>
      <c r="C9" s="244" t="s">
        <v>119</v>
      </c>
      <c r="D9" s="240">
        <v>2.68</v>
      </c>
      <c r="E9" s="241"/>
      <c r="F9" s="242">
        <f t="shared" si="0"/>
        <v>2.68</v>
      </c>
      <c r="G9" s="242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0" ht="16.25" customHeight="1">
      <c r="A10" s="245">
        <v>43434</v>
      </c>
      <c r="B10" s="238" t="s">
        <v>109</v>
      </c>
      <c r="C10" s="244" t="s">
        <v>120</v>
      </c>
      <c r="D10" s="240">
        <v>2.73</v>
      </c>
      <c r="E10" s="241"/>
      <c r="F10" s="242">
        <f t="shared" si="0"/>
        <v>2.73</v>
      </c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</row>
    <row r="11" spans="1:20" ht="16.25" customHeight="1">
      <c r="A11" s="245">
        <v>43404</v>
      </c>
      <c r="B11" s="238" t="s">
        <v>109</v>
      </c>
      <c r="C11" s="244" t="s">
        <v>200</v>
      </c>
      <c r="D11" s="240">
        <v>2.8</v>
      </c>
      <c r="E11" s="241"/>
      <c r="F11" s="242">
        <f t="shared" si="0"/>
        <v>2.8</v>
      </c>
      <c r="G11" s="242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</row>
    <row r="12" spans="1:20" ht="16.25" customHeight="1">
      <c r="A12" s="245">
        <v>43371</v>
      </c>
      <c r="B12" s="238" t="s">
        <v>109</v>
      </c>
      <c r="C12" s="244" t="s">
        <v>266</v>
      </c>
      <c r="D12" s="240">
        <v>0.64</v>
      </c>
      <c r="E12" s="241"/>
      <c r="F12" s="242">
        <f t="shared" si="0"/>
        <v>0.64</v>
      </c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</row>
    <row r="13" spans="1:20" ht="16.25" customHeight="1">
      <c r="A13" s="245">
        <v>43343</v>
      </c>
      <c r="B13" s="238" t="s">
        <v>109</v>
      </c>
      <c r="C13" s="244" t="s">
        <v>267</v>
      </c>
      <c r="D13" s="240">
        <v>0.71</v>
      </c>
      <c r="E13" s="241"/>
      <c r="F13" s="242">
        <f t="shared" si="0"/>
        <v>0.71</v>
      </c>
      <c r="G13" s="242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</row>
    <row r="14" spans="1:20" ht="16.25" customHeight="1">
      <c r="A14" s="245">
        <v>43312</v>
      </c>
      <c r="B14" s="238" t="s">
        <v>109</v>
      </c>
      <c r="C14" s="244" t="s">
        <v>112</v>
      </c>
      <c r="D14" s="240">
        <v>0.73</v>
      </c>
      <c r="E14" s="241"/>
      <c r="F14" s="242">
        <f t="shared" si="0"/>
        <v>0.73</v>
      </c>
      <c r="G14" s="242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</row>
    <row r="15" spans="1:20" ht="16.25" customHeight="1">
      <c r="A15" s="245">
        <v>43280</v>
      </c>
      <c r="B15" s="238" t="s">
        <v>109</v>
      </c>
      <c r="C15" s="244" t="s">
        <v>268</v>
      </c>
      <c r="D15" s="240">
        <v>0.66</v>
      </c>
      <c r="E15" s="241"/>
      <c r="F15" s="242">
        <f t="shared" si="0"/>
        <v>0.66</v>
      </c>
      <c r="G15" s="242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</row>
    <row r="16" spans="1:20" ht="16.25" customHeight="1">
      <c r="A16" s="245">
        <v>43251</v>
      </c>
      <c r="B16" s="238" t="s">
        <v>109</v>
      </c>
      <c r="C16" s="244" t="s">
        <v>204</v>
      </c>
      <c r="D16" s="240">
        <v>0.59</v>
      </c>
      <c r="E16" s="241"/>
      <c r="F16" s="242">
        <f t="shared" si="0"/>
        <v>0.59</v>
      </c>
      <c r="G16" s="242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</row>
    <row r="17" spans="1:20" ht="17" customHeight="1">
      <c r="A17" s="245">
        <v>43241</v>
      </c>
      <c r="B17" s="246" t="s">
        <v>124</v>
      </c>
      <c r="C17" s="247" t="s">
        <v>202</v>
      </c>
      <c r="D17" s="240">
        <v>4000</v>
      </c>
      <c r="E17" s="241"/>
      <c r="F17" s="242"/>
      <c r="G17" s="242">
        <f>$D17</f>
        <v>4000</v>
      </c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</row>
    <row r="18" spans="1:20" ht="16.25" customHeight="1">
      <c r="A18" s="245">
        <v>43220</v>
      </c>
      <c r="B18" s="238" t="s">
        <v>109</v>
      </c>
      <c r="C18" s="244" t="s">
        <v>115</v>
      </c>
      <c r="D18" s="240">
        <v>0.55000000000000004</v>
      </c>
      <c r="E18" s="241"/>
      <c r="F18" s="242">
        <f>$D18</f>
        <v>0.55000000000000004</v>
      </c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</row>
    <row r="19" spans="1:20" ht="16.25" customHeight="1">
      <c r="A19" s="245"/>
      <c r="B19" s="248"/>
      <c r="C19" s="249"/>
      <c r="D19" s="250"/>
      <c r="E19" s="251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</row>
    <row r="20" spans="1:20" ht="16.25" customHeight="1">
      <c r="A20" s="623" t="s">
        <v>269</v>
      </c>
      <c r="B20" s="624"/>
      <c r="C20" s="625"/>
      <c r="D20" s="250"/>
      <c r="E20" s="251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</row>
    <row r="21" spans="1:20" ht="21" customHeight="1">
      <c r="A21" s="252">
        <v>43549</v>
      </c>
      <c r="B21" s="253" t="s">
        <v>122</v>
      </c>
      <c r="C21" s="254" t="s">
        <v>123</v>
      </c>
      <c r="D21" s="240">
        <v>216.8</v>
      </c>
      <c r="E21" s="255" t="s">
        <v>82</v>
      </c>
      <c r="F21" s="242"/>
      <c r="G21" s="242"/>
      <c r="H21" s="242"/>
      <c r="I21" s="242"/>
      <c r="J21" s="242"/>
      <c r="K21" s="242"/>
      <c r="L21" s="242"/>
      <c r="M21" s="242"/>
      <c r="N21" s="242">
        <f>$D21</f>
        <v>216.8</v>
      </c>
      <c r="O21" s="242"/>
      <c r="P21" s="242"/>
      <c r="Q21" s="242"/>
      <c r="R21" s="242"/>
      <c r="S21" s="242"/>
      <c r="T21" s="242"/>
    </row>
    <row r="22" spans="1:20" ht="15" customHeight="1">
      <c r="A22" s="237">
        <v>43549</v>
      </c>
      <c r="B22" s="238" t="s">
        <v>122</v>
      </c>
      <c r="C22" s="244" t="s">
        <v>123</v>
      </c>
      <c r="D22" s="240">
        <v>17</v>
      </c>
      <c r="E22" s="255" t="s">
        <v>82</v>
      </c>
      <c r="F22" s="242"/>
      <c r="G22" s="242"/>
      <c r="H22" s="242"/>
      <c r="I22" s="242"/>
      <c r="J22" s="242"/>
      <c r="K22" s="242">
        <f>$D22</f>
        <v>17</v>
      </c>
      <c r="L22" s="242"/>
      <c r="M22" s="242"/>
      <c r="N22" s="242"/>
      <c r="O22" s="242"/>
      <c r="P22" s="242"/>
      <c r="Q22" s="242"/>
      <c r="R22" s="242"/>
      <c r="S22" s="242"/>
      <c r="T22" s="242"/>
    </row>
    <row r="23" spans="1:20" ht="15" customHeight="1">
      <c r="A23" s="237">
        <v>43545</v>
      </c>
      <c r="B23" s="238" t="s">
        <v>122</v>
      </c>
      <c r="C23" s="244" t="s">
        <v>128</v>
      </c>
      <c r="D23" s="240">
        <v>500</v>
      </c>
      <c r="E23" s="256"/>
      <c r="F23" s="242"/>
      <c r="G23" s="242"/>
      <c r="H23" s="242"/>
      <c r="I23" s="242"/>
      <c r="J23" s="242"/>
      <c r="K23" s="242"/>
      <c r="L23" s="242">
        <f>$D23</f>
        <v>500</v>
      </c>
      <c r="M23" s="242"/>
      <c r="N23" s="242"/>
      <c r="O23" s="242"/>
      <c r="P23" s="242"/>
      <c r="Q23" s="242"/>
      <c r="R23" s="242"/>
      <c r="S23" s="242"/>
      <c r="T23" s="242"/>
    </row>
    <row r="24" spans="1:20" ht="15" customHeight="1">
      <c r="A24" s="237">
        <v>43539</v>
      </c>
      <c r="B24" s="238" t="s">
        <v>124</v>
      </c>
      <c r="C24" s="244" t="s">
        <v>134</v>
      </c>
      <c r="D24" s="240">
        <v>2000</v>
      </c>
      <c r="E24" s="257"/>
      <c r="F24" s="242"/>
      <c r="G24" s="242">
        <f>$D24</f>
        <v>2000</v>
      </c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</row>
    <row r="25" spans="1:20" ht="15" customHeight="1">
      <c r="A25" s="237">
        <v>43536</v>
      </c>
      <c r="B25" s="238" t="s">
        <v>122</v>
      </c>
      <c r="C25" s="244" t="s">
        <v>205</v>
      </c>
      <c r="D25" s="240">
        <v>27.5</v>
      </c>
      <c r="E25" s="257"/>
      <c r="F25" s="242"/>
      <c r="G25" s="242"/>
      <c r="H25" s="242">
        <f>$D25</f>
        <v>27.5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</row>
    <row r="26" spans="1:20" ht="20.75" customHeight="1">
      <c r="A26" s="237">
        <v>43517</v>
      </c>
      <c r="B26" s="238" t="s">
        <v>132</v>
      </c>
      <c r="C26" s="239">
        <v>515003</v>
      </c>
      <c r="D26" s="240">
        <v>22.5</v>
      </c>
      <c r="E26" s="255" t="s">
        <v>84</v>
      </c>
      <c r="F26" s="242"/>
      <c r="G26" s="242"/>
      <c r="H26" s="258"/>
      <c r="I26" s="259"/>
      <c r="J26" s="242">
        <f>$D26</f>
        <v>22.5</v>
      </c>
      <c r="K26" s="242"/>
      <c r="L26" s="242"/>
      <c r="M26" s="242"/>
      <c r="N26" s="242"/>
      <c r="O26" s="242"/>
      <c r="P26" s="242"/>
      <c r="Q26" s="242"/>
      <c r="R26" s="242"/>
      <c r="S26" s="242"/>
      <c r="T26" s="242"/>
    </row>
    <row r="27" spans="1:20" ht="15" customHeight="1">
      <c r="A27" s="237">
        <v>43500</v>
      </c>
      <c r="B27" s="238" t="s">
        <v>122</v>
      </c>
      <c r="C27" s="244" t="s">
        <v>123</v>
      </c>
      <c r="D27" s="240">
        <v>320</v>
      </c>
      <c r="E27" s="255" t="s">
        <v>83</v>
      </c>
      <c r="F27" s="242"/>
      <c r="G27" s="242"/>
      <c r="H27" s="260"/>
      <c r="I27" s="242"/>
      <c r="J27" s="242"/>
      <c r="K27" s="242"/>
      <c r="L27" s="242"/>
      <c r="M27" s="242"/>
      <c r="N27" s="242">
        <f>$D27</f>
        <v>320</v>
      </c>
      <c r="O27" s="242"/>
      <c r="P27" s="242"/>
      <c r="Q27" s="242"/>
      <c r="R27" s="242"/>
      <c r="S27" s="242"/>
      <c r="T27" s="242"/>
    </row>
    <row r="28" spans="1:20" ht="15" customHeight="1">
      <c r="A28" s="237">
        <v>43465</v>
      </c>
      <c r="B28" s="238" t="s">
        <v>122</v>
      </c>
      <c r="C28" s="244" t="s">
        <v>123</v>
      </c>
      <c r="D28" s="240">
        <v>51.2</v>
      </c>
      <c r="E28" s="255" t="s">
        <v>84</v>
      </c>
      <c r="F28" s="242"/>
      <c r="G28" s="242"/>
      <c r="H28" s="260"/>
      <c r="I28" s="242"/>
      <c r="J28" s="242"/>
      <c r="K28" s="242">
        <f>$D28</f>
        <v>51.2</v>
      </c>
      <c r="L28" s="242"/>
      <c r="M28" s="242"/>
      <c r="N28" s="242"/>
      <c r="O28" s="242"/>
      <c r="P28" s="242"/>
      <c r="Q28" s="242"/>
      <c r="R28" s="242"/>
      <c r="S28" s="242"/>
      <c r="T28" s="242"/>
    </row>
    <row r="29" spans="1:20" ht="15" customHeight="1">
      <c r="A29" s="237">
        <v>43465</v>
      </c>
      <c r="B29" s="238" t="s">
        <v>122</v>
      </c>
      <c r="C29" s="244" t="s">
        <v>123</v>
      </c>
      <c r="D29" s="240">
        <v>75</v>
      </c>
      <c r="E29" s="255" t="s">
        <v>84</v>
      </c>
      <c r="F29" s="242"/>
      <c r="G29" s="242"/>
      <c r="H29" s="260"/>
      <c r="I29" s="242"/>
      <c r="J29" s="242">
        <f>$D29</f>
        <v>75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</row>
    <row r="30" spans="1:20" ht="15" customHeight="1">
      <c r="A30" s="237">
        <v>43453</v>
      </c>
      <c r="B30" s="238" t="s">
        <v>122</v>
      </c>
      <c r="C30" s="244" t="s">
        <v>128</v>
      </c>
      <c r="D30" s="240">
        <v>1500</v>
      </c>
      <c r="E30" s="256"/>
      <c r="F30" s="242"/>
      <c r="G30" s="242"/>
      <c r="H30" s="260"/>
      <c r="I30" s="242"/>
      <c r="J30" s="242"/>
      <c r="K30" s="242"/>
      <c r="L30" s="242">
        <f>$D30</f>
        <v>1500</v>
      </c>
      <c r="M30" s="242"/>
      <c r="N30" s="242"/>
      <c r="O30" s="242"/>
      <c r="P30" s="242"/>
      <c r="Q30" s="242"/>
      <c r="R30" s="242"/>
      <c r="S30" s="242"/>
      <c r="T30" s="242"/>
    </row>
    <row r="31" spans="1:20" ht="15" customHeight="1">
      <c r="A31" s="237">
        <v>43452</v>
      </c>
      <c r="B31" s="238" t="s">
        <v>124</v>
      </c>
      <c r="C31" s="244" t="s">
        <v>134</v>
      </c>
      <c r="D31" s="240">
        <v>2000</v>
      </c>
      <c r="E31" s="257"/>
      <c r="F31" s="242"/>
      <c r="G31" s="242">
        <f>$D31</f>
        <v>2000</v>
      </c>
      <c r="H31" s="260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</row>
    <row r="32" spans="1:20" ht="27" customHeight="1">
      <c r="A32" s="237">
        <v>43445</v>
      </c>
      <c r="B32" s="238" t="s">
        <v>122</v>
      </c>
      <c r="C32" s="244" t="s">
        <v>270</v>
      </c>
      <c r="D32" s="240">
        <v>50</v>
      </c>
      <c r="E32" s="255" t="s">
        <v>271</v>
      </c>
      <c r="F32" s="242"/>
      <c r="G32" s="242"/>
      <c r="H32" s="260"/>
      <c r="I32" s="242"/>
      <c r="J32" s="242"/>
      <c r="K32" s="242">
        <f>$D32</f>
        <v>50</v>
      </c>
      <c r="L32" s="242"/>
      <c r="M32" s="242"/>
      <c r="N32" s="242"/>
      <c r="O32" s="242"/>
      <c r="P32" s="242"/>
      <c r="Q32" s="242"/>
      <c r="R32" s="242"/>
      <c r="S32" s="242"/>
      <c r="T32" s="242"/>
    </row>
    <row r="33" spans="1:20" ht="15" customHeight="1">
      <c r="A33" s="237">
        <v>43444</v>
      </c>
      <c r="B33" s="238" t="s">
        <v>122</v>
      </c>
      <c r="C33" s="244" t="s">
        <v>127</v>
      </c>
      <c r="D33" s="240">
        <v>50</v>
      </c>
      <c r="E33" s="255" t="s">
        <v>272</v>
      </c>
      <c r="F33" s="242"/>
      <c r="G33" s="242"/>
      <c r="H33" s="260"/>
      <c r="I33" s="242">
        <f>$D33</f>
        <v>50</v>
      </c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</row>
    <row r="34" spans="1:20" ht="15" customHeight="1">
      <c r="A34" s="237">
        <v>43411</v>
      </c>
      <c r="B34" s="238" t="s">
        <v>122</v>
      </c>
      <c r="C34" s="244" t="s">
        <v>123</v>
      </c>
      <c r="D34" s="240">
        <v>57</v>
      </c>
      <c r="E34" s="257"/>
      <c r="F34" s="242"/>
      <c r="G34" s="242"/>
      <c r="H34" s="242">
        <v>10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>
        <v>47</v>
      </c>
      <c r="S34" s="242"/>
      <c r="T34" s="242"/>
    </row>
    <row r="35" spans="1:20" ht="15" customHeight="1">
      <c r="A35" s="237">
        <v>43409</v>
      </c>
      <c r="B35" s="238" t="s">
        <v>122</v>
      </c>
      <c r="C35" s="244" t="s">
        <v>123</v>
      </c>
      <c r="D35" s="240">
        <v>100</v>
      </c>
      <c r="E35" s="255" t="s">
        <v>85</v>
      </c>
      <c r="F35" s="242"/>
      <c r="G35" s="242"/>
      <c r="H35" s="242"/>
      <c r="I35" s="242"/>
      <c r="J35" s="242"/>
      <c r="K35" s="242"/>
      <c r="L35" s="242"/>
      <c r="M35" s="242"/>
      <c r="N35" s="242">
        <f>$D35</f>
        <v>100</v>
      </c>
      <c r="O35" s="242"/>
      <c r="P35" s="242"/>
      <c r="Q35" s="242"/>
      <c r="R35" s="242"/>
      <c r="S35" s="242"/>
      <c r="T35" s="242"/>
    </row>
    <row r="36" spans="1:20" ht="15" customHeight="1">
      <c r="A36" s="237">
        <v>43406</v>
      </c>
      <c r="B36" s="238" t="s">
        <v>122</v>
      </c>
      <c r="C36" s="244" t="s">
        <v>123</v>
      </c>
      <c r="D36" s="240">
        <v>18</v>
      </c>
      <c r="E36" s="255" t="s">
        <v>107</v>
      </c>
      <c r="F36" s="242"/>
      <c r="G36" s="242"/>
      <c r="H36" s="242"/>
      <c r="I36" s="242"/>
      <c r="J36" s="242"/>
      <c r="K36" s="242">
        <f>$D36</f>
        <v>18</v>
      </c>
      <c r="L36" s="242"/>
      <c r="M36" s="242"/>
      <c r="N36" s="242"/>
      <c r="O36" s="242"/>
      <c r="P36" s="242"/>
      <c r="Q36" s="242"/>
      <c r="R36" s="242"/>
      <c r="S36" s="242"/>
      <c r="T36" s="242"/>
    </row>
    <row r="37" spans="1:20" ht="20.75" customHeight="1">
      <c r="A37" s="261">
        <v>43368</v>
      </c>
      <c r="B37" s="262" t="s">
        <v>122</v>
      </c>
      <c r="C37" s="263" t="s">
        <v>123</v>
      </c>
      <c r="D37" s="264">
        <v>268</v>
      </c>
      <c r="E37" s="265"/>
      <c r="F37" s="266"/>
      <c r="G37" s="266"/>
      <c r="H37" s="267"/>
      <c r="I37" s="268"/>
      <c r="J37" s="266"/>
      <c r="K37" s="266"/>
      <c r="L37" s="266"/>
      <c r="M37" s="266">
        <f>$D37</f>
        <v>268</v>
      </c>
      <c r="N37" s="266"/>
      <c r="O37" s="266"/>
      <c r="P37" s="266"/>
      <c r="Q37" s="266"/>
      <c r="R37" s="266"/>
      <c r="S37" s="266"/>
      <c r="T37" s="266"/>
    </row>
    <row r="38" spans="1:20" ht="15" customHeight="1">
      <c r="A38" s="269">
        <v>43355</v>
      </c>
      <c r="B38" s="270" t="s">
        <v>132</v>
      </c>
      <c r="C38" s="271">
        <v>515003</v>
      </c>
      <c r="D38" s="272">
        <v>18</v>
      </c>
      <c r="E38" s="273" t="s">
        <v>273</v>
      </c>
      <c r="F38" s="274"/>
      <c r="G38" s="275"/>
      <c r="H38" s="266">
        <f>$D38</f>
        <v>18</v>
      </c>
      <c r="I38" s="275"/>
      <c r="J38" s="275"/>
      <c r="K38" s="275"/>
      <c r="L38" s="275"/>
      <c r="M38" s="276"/>
      <c r="N38" s="275"/>
      <c r="O38" s="275"/>
      <c r="P38" s="275"/>
      <c r="Q38" s="275"/>
      <c r="R38" s="275"/>
      <c r="S38" s="275"/>
      <c r="T38" s="275"/>
    </row>
    <row r="39" spans="1:20" ht="15" customHeight="1">
      <c r="A39" s="269">
        <v>43333</v>
      </c>
      <c r="B39" s="277" t="s">
        <v>122</v>
      </c>
      <c r="C39" s="278" t="s">
        <v>123</v>
      </c>
      <c r="D39" s="264">
        <v>111.4</v>
      </c>
      <c r="E39" s="279" t="s">
        <v>274</v>
      </c>
      <c r="F39" s="275"/>
      <c r="G39" s="275"/>
      <c r="H39" s="275"/>
      <c r="I39" s="275"/>
      <c r="J39" s="275"/>
      <c r="K39" s="275">
        <f>$D39</f>
        <v>111.4</v>
      </c>
      <c r="L39" s="275"/>
      <c r="M39" s="275"/>
      <c r="N39" s="275"/>
      <c r="O39" s="275"/>
      <c r="P39" s="275"/>
      <c r="Q39" s="275"/>
      <c r="R39" s="275"/>
      <c r="S39" s="275"/>
      <c r="T39" s="275"/>
    </row>
    <row r="40" spans="1:20" ht="14.75" customHeight="1">
      <c r="A40" s="269">
        <v>43320</v>
      </c>
      <c r="B40" s="277" t="s">
        <v>122</v>
      </c>
      <c r="C40" s="278" t="s">
        <v>275</v>
      </c>
      <c r="D40" s="280">
        <v>75</v>
      </c>
      <c r="E40" s="281" t="s">
        <v>103</v>
      </c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>
        <f>$D40</f>
        <v>75</v>
      </c>
    </row>
    <row r="41" spans="1:20" ht="14.75" customHeight="1">
      <c r="A41" s="269">
        <v>43312</v>
      </c>
      <c r="B41" s="277" t="s">
        <v>122</v>
      </c>
      <c r="C41" s="278" t="s">
        <v>123</v>
      </c>
      <c r="D41" s="280">
        <v>347.5</v>
      </c>
      <c r="E41" s="281" t="s">
        <v>276</v>
      </c>
      <c r="F41" s="275"/>
      <c r="G41" s="275"/>
      <c r="H41" s="275"/>
      <c r="I41" s="275"/>
      <c r="J41" s="275"/>
      <c r="K41" s="275"/>
      <c r="L41" s="275"/>
      <c r="M41" s="275"/>
      <c r="N41" s="275">
        <f>$D41</f>
        <v>347.5</v>
      </c>
      <c r="O41" s="275"/>
      <c r="P41" s="275"/>
      <c r="Q41" s="275"/>
      <c r="R41" s="275"/>
      <c r="S41" s="275"/>
      <c r="T41" s="275"/>
    </row>
    <row r="42" spans="1:20" ht="14.75" customHeight="1">
      <c r="A42" s="269">
        <v>43312</v>
      </c>
      <c r="B42" s="277" t="s">
        <v>122</v>
      </c>
      <c r="C42" s="278" t="s">
        <v>123</v>
      </c>
      <c r="D42" s="280">
        <v>48</v>
      </c>
      <c r="E42" s="281" t="s">
        <v>276</v>
      </c>
      <c r="F42" s="275"/>
      <c r="G42" s="275"/>
      <c r="H42" s="275">
        <f>$D42</f>
        <v>48</v>
      </c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</row>
    <row r="43" spans="1:20" ht="14.75" customHeight="1">
      <c r="A43" s="269">
        <v>43306</v>
      </c>
      <c r="B43" s="277" t="s">
        <v>122</v>
      </c>
      <c r="C43" s="278" t="s">
        <v>213</v>
      </c>
      <c r="D43" s="280">
        <v>62.5</v>
      </c>
      <c r="E43" s="282"/>
      <c r="F43" s="275"/>
      <c r="G43" s="275"/>
      <c r="H43" s="275"/>
      <c r="I43" s="275"/>
      <c r="J43" s="275"/>
      <c r="K43" s="275">
        <f>$D43</f>
        <v>62.5</v>
      </c>
      <c r="L43" s="275"/>
      <c r="M43" s="275"/>
      <c r="N43" s="275"/>
      <c r="O43" s="275"/>
      <c r="P43" s="275"/>
      <c r="Q43" s="275"/>
      <c r="R43" s="275"/>
      <c r="S43" s="275"/>
      <c r="T43" s="275"/>
    </row>
    <row r="44" spans="1:20" ht="14.75" customHeight="1">
      <c r="A44" s="269">
        <v>43292</v>
      </c>
      <c r="B44" s="277" t="s">
        <v>122</v>
      </c>
      <c r="C44" s="278" t="s">
        <v>128</v>
      </c>
      <c r="D44" s="280">
        <v>300</v>
      </c>
      <c r="E44" s="281" t="s">
        <v>210</v>
      </c>
      <c r="F44" s="275"/>
      <c r="G44" s="275"/>
      <c r="H44" s="275"/>
      <c r="I44" s="275"/>
      <c r="J44" s="275"/>
      <c r="K44" s="275"/>
      <c r="L44" s="275">
        <f>$D44</f>
        <v>300</v>
      </c>
      <c r="M44" s="275"/>
      <c r="N44" s="275"/>
      <c r="O44" s="275"/>
      <c r="P44" s="275"/>
      <c r="Q44" s="275"/>
      <c r="R44" s="275"/>
      <c r="S44" s="275"/>
      <c r="T44" s="275"/>
    </row>
    <row r="45" spans="1:20" ht="14.75" customHeight="1">
      <c r="A45" s="269">
        <v>43292</v>
      </c>
      <c r="B45" s="277" t="s">
        <v>122</v>
      </c>
      <c r="C45" s="278" t="s">
        <v>128</v>
      </c>
      <c r="D45" s="280">
        <v>200</v>
      </c>
      <c r="E45" s="281" t="s">
        <v>210</v>
      </c>
      <c r="F45" s="275"/>
      <c r="G45" s="275"/>
      <c r="H45" s="275"/>
      <c r="I45" s="275"/>
      <c r="J45" s="275"/>
      <c r="K45" s="275"/>
      <c r="L45" s="275">
        <f>$D45</f>
        <v>200</v>
      </c>
      <c r="M45" s="275"/>
      <c r="N45" s="275"/>
      <c r="O45" s="275"/>
      <c r="P45" s="275"/>
      <c r="Q45" s="275"/>
      <c r="R45" s="275"/>
      <c r="S45" s="275"/>
      <c r="T45" s="275"/>
    </row>
    <row r="46" spans="1:20" ht="14.75" customHeight="1">
      <c r="A46" s="269">
        <v>43290</v>
      </c>
      <c r="B46" s="277" t="s">
        <v>122</v>
      </c>
      <c r="C46" s="278" t="s">
        <v>216</v>
      </c>
      <c r="D46" s="280">
        <v>15</v>
      </c>
      <c r="E46" s="281" t="s">
        <v>107</v>
      </c>
      <c r="F46" s="275"/>
      <c r="G46" s="275"/>
      <c r="H46" s="275"/>
      <c r="I46" s="275"/>
      <c r="J46" s="275"/>
      <c r="K46" s="275">
        <f>$D46</f>
        <v>15</v>
      </c>
      <c r="L46" s="275"/>
      <c r="M46" s="275"/>
      <c r="N46" s="275"/>
      <c r="O46" s="275"/>
      <c r="P46" s="275"/>
      <c r="Q46" s="275"/>
      <c r="R46" s="275"/>
      <c r="S46" s="275"/>
      <c r="T46" s="275"/>
    </row>
    <row r="47" spans="1:20" ht="20.5" customHeight="1">
      <c r="A47" s="269">
        <v>43287</v>
      </c>
      <c r="B47" s="277" t="s">
        <v>122</v>
      </c>
      <c r="C47" s="278" t="s">
        <v>275</v>
      </c>
      <c r="D47" s="280">
        <v>75</v>
      </c>
      <c r="E47" s="281" t="s">
        <v>103</v>
      </c>
      <c r="F47" s="275"/>
      <c r="G47" s="275"/>
      <c r="H47" s="629"/>
      <c r="I47" s="617"/>
      <c r="J47" s="275"/>
      <c r="K47" s="275"/>
      <c r="L47" s="275"/>
      <c r="M47" s="275"/>
      <c r="N47" s="275"/>
      <c r="O47" s="275"/>
      <c r="P47" s="275"/>
      <c r="Q47" s="276"/>
      <c r="R47" s="275"/>
      <c r="S47" s="275"/>
      <c r="T47" s="275">
        <f>$D47</f>
        <v>75</v>
      </c>
    </row>
    <row r="48" spans="1:20" ht="20.75" customHeight="1">
      <c r="A48" s="283">
        <v>43279</v>
      </c>
      <c r="B48" s="270" t="s">
        <v>132</v>
      </c>
      <c r="C48" s="271">
        <v>100351</v>
      </c>
      <c r="D48" s="284">
        <v>62</v>
      </c>
      <c r="E48" s="281" t="s">
        <v>277</v>
      </c>
      <c r="F48" s="275"/>
      <c r="G48" s="275"/>
      <c r="H48" s="275">
        <f>$D48</f>
        <v>62</v>
      </c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</row>
    <row r="49" spans="1:20" ht="20.75" customHeight="1">
      <c r="A49" s="283">
        <v>43263</v>
      </c>
      <c r="B49" s="270" t="s">
        <v>122</v>
      </c>
      <c r="C49" s="285" t="s">
        <v>275</v>
      </c>
      <c r="D49" s="284">
        <v>75</v>
      </c>
      <c r="E49" s="281" t="s">
        <v>103</v>
      </c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>
        <f>$D49</f>
        <v>75</v>
      </c>
    </row>
    <row r="50" spans="1:20" ht="20.75" customHeight="1">
      <c r="A50" s="283">
        <v>43262</v>
      </c>
      <c r="B50" s="270" t="s">
        <v>122</v>
      </c>
      <c r="C50" s="285" t="s">
        <v>123</v>
      </c>
      <c r="D50" s="284">
        <v>166.5</v>
      </c>
      <c r="E50" s="281" t="s">
        <v>278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>
        <f>$D50</f>
        <v>166.5</v>
      </c>
      <c r="P50" s="275"/>
      <c r="Q50" s="275"/>
      <c r="R50" s="275"/>
      <c r="S50" s="275"/>
      <c r="T50" s="275"/>
    </row>
    <row r="51" spans="1:20" ht="20.75" customHeight="1">
      <c r="A51" s="283">
        <v>43262</v>
      </c>
      <c r="B51" s="270" t="s">
        <v>122</v>
      </c>
      <c r="C51" s="285" t="s">
        <v>123</v>
      </c>
      <c r="D51" s="284">
        <v>16</v>
      </c>
      <c r="E51" s="281" t="s">
        <v>278</v>
      </c>
      <c r="F51" s="275"/>
      <c r="G51" s="275"/>
      <c r="H51" s="275"/>
      <c r="I51" s="275"/>
      <c r="J51" s="275"/>
      <c r="K51" s="275"/>
      <c r="L51" s="275"/>
      <c r="M51" s="275"/>
      <c r="N51" s="275"/>
      <c r="O51" s="275">
        <f>$D51</f>
        <v>16</v>
      </c>
      <c r="P51" s="275"/>
      <c r="Q51" s="275"/>
      <c r="R51" s="275"/>
      <c r="S51" s="275"/>
      <c r="T51" s="275"/>
    </row>
    <row r="52" spans="1:20" ht="20.75" customHeight="1">
      <c r="A52" s="283">
        <v>43262</v>
      </c>
      <c r="B52" s="270" t="s">
        <v>122</v>
      </c>
      <c r="C52" s="285" t="s">
        <v>123</v>
      </c>
      <c r="D52" s="284">
        <v>9.1999999999999993</v>
      </c>
      <c r="E52" s="281" t="s">
        <v>279</v>
      </c>
      <c r="F52" s="275"/>
      <c r="G52" s="275"/>
      <c r="H52" s="275"/>
      <c r="I52" s="275"/>
      <c r="J52" s="275"/>
      <c r="K52" s="275"/>
      <c r="L52" s="275"/>
      <c r="M52" s="275"/>
      <c r="N52" s="275"/>
      <c r="O52" s="275">
        <v>9.1999999999999993</v>
      </c>
      <c r="P52" s="275"/>
      <c r="Q52" s="275"/>
      <c r="R52" s="275"/>
      <c r="S52" s="275"/>
      <c r="T52" s="275"/>
    </row>
    <row r="53" spans="1:20" ht="20.75" customHeight="1">
      <c r="A53" s="283">
        <v>43262</v>
      </c>
      <c r="B53" s="270" t="s">
        <v>122</v>
      </c>
      <c r="C53" s="285" t="s">
        <v>123</v>
      </c>
      <c r="D53" s="284">
        <v>70</v>
      </c>
      <c r="E53" s="281" t="s">
        <v>280</v>
      </c>
      <c r="F53" s="275"/>
      <c r="G53" s="275"/>
      <c r="H53" s="275">
        <f>$D53</f>
        <v>70</v>
      </c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</row>
    <row r="54" spans="1:20" ht="20.75" customHeight="1">
      <c r="A54" s="283">
        <v>43262</v>
      </c>
      <c r="B54" s="270" t="s">
        <v>122</v>
      </c>
      <c r="C54" s="285" t="s">
        <v>123</v>
      </c>
      <c r="D54" s="284">
        <v>140.65</v>
      </c>
      <c r="E54" s="281" t="s">
        <v>281</v>
      </c>
      <c r="F54" s="275"/>
      <c r="G54" s="275"/>
      <c r="H54" s="275"/>
      <c r="I54" s="275"/>
      <c r="J54" s="275"/>
      <c r="K54" s="275"/>
      <c r="L54" s="275"/>
      <c r="M54" s="275"/>
      <c r="N54" s="275"/>
      <c r="O54" s="275">
        <f>$D54</f>
        <v>140.65</v>
      </c>
      <c r="P54" s="275"/>
      <c r="Q54" s="275"/>
      <c r="R54" s="275"/>
      <c r="S54" s="275"/>
      <c r="T54" s="275"/>
    </row>
    <row r="55" spans="1:20" ht="20.75" customHeight="1">
      <c r="A55" s="283">
        <v>43262</v>
      </c>
      <c r="B55" s="270" t="s">
        <v>122</v>
      </c>
      <c r="C55" s="285" t="s">
        <v>123</v>
      </c>
      <c r="D55" s="284">
        <v>98</v>
      </c>
      <c r="E55" s="281" t="s">
        <v>282</v>
      </c>
      <c r="F55" s="275"/>
      <c r="G55" s="275"/>
      <c r="H55" s="275"/>
      <c r="I55" s="275"/>
      <c r="J55" s="275"/>
      <c r="K55" s="275"/>
      <c r="L55" s="275"/>
      <c r="M55" s="275"/>
      <c r="N55" s="275">
        <f>$D55</f>
        <v>98</v>
      </c>
      <c r="O55" s="275"/>
      <c r="P55" s="275"/>
      <c r="Q55" s="275"/>
      <c r="R55" s="275"/>
      <c r="S55" s="275"/>
      <c r="T55" s="275"/>
    </row>
    <row r="56" spans="1:20" ht="20.75" customHeight="1">
      <c r="A56" s="283">
        <v>43262</v>
      </c>
      <c r="B56" s="270" t="s">
        <v>122</v>
      </c>
      <c r="C56" s="285" t="s">
        <v>123</v>
      </c>
      <c r="D56" s="284">
        <v>54.5</v>
      </c>
      <c r="E56" s="281" t="s">
        <v>283</v>
      </c>
      <c r="F56" s="275"/>
      <c r="G56" s="275"/>
      <c r="H56" s="275"/>
      <c r="I56" s="275"/>
      <c r="J56" s="275"/>
      <c r="K56" s="275">
        <v>54.5</v>
      </c>
      <c r="L56" s="275"/>
      <c r="M56" s="275"/>
      <c r="N56" s="275"/>
      <c r="O56" s="275"/>
      <c r="P56" s="275"/>
      <c r="Q56" s="275"/>
      <c r="R56" s="275"/>
      <c r="S56" s="275"/>
      <c r="T56" s="275"/>
    </row>
    <row r="57" spans="1:20" ht="20.75" customHeight="1">
      <c r="A57" s="283">
        <v>43249</v>
      </c>
      <c r="B57" s="270" t="s">
        <v>122</v>
      </c>
      <c r="C57" s="285" t="s">
        <v>123</v>
      </c>
      <c r="D57" s="284">
        <v>46</v>
      </c>
      <c r="E57" s="281" t="s">
        <v>284</v>
      </c>
      <c r="F57" s="275"/>
      <c r="G57" s="275"/>
      <c r="H57" s="275">
        <f>$D57</f>
        <v>46</v>
      </c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</row>
    <row r="58" spans="1:20" ht="20.75" customHeight="1">
      <c r="A58" s="283">
        <v>43249</v>
      </c>
      <c r="B58" s="270" t="s">
        <v>122</v>
      </c>
      <c r="C58" s="285" t="s">
        <v>123</v>
      </c>
      <c r="D58" s="284">
        <v>156</v>
      </c>
      <c r="E58" s="281" t="s">
        <v>284</v>
      </c>
      <c r="F58" s="275"/>
      <c r="G58" s="275"/>
      <c r="H58" s="275"/>
      <c r="I58" s="275"/>
      <c r="J58" s="275"/>
      <c r="K58" s="275"/>
      <c r="L58" s="275"/>
      <c r="M58" s="275"/>
      <c r="N58" s="275">
        <f>$D58</f>
        <v>156</v>
      </c>
      <c r="O58" s="275"/>
      <c r="P58" s="275"/>
      <c r="Q58" s="275"/>
      <c r="R58" s="275"/>
      <c r="S58" s="275"/>
      <c r="T58" s="275"/>
    </row>
    <row r="59" spans="1:20" ht="20.75" customHeight="1">
      <c r="A59" s="283">
        <v>43238</v>
      </c>
      <c r="B59" s="270" t="s">
        <v>132</v>
      </c>
      <c r="C59" s="271">
        <v>515003</v>
      </c>
      <c r="D59" s="284">
        <v>302</v>
      </c>
      <c r="E59" s="282"/>
      <c r="F59" s="275"/>
      <c r="G59" s="275"/>
      <c r="H59" s="275">
        <f>$D59</f>
        <v>302</v>
      </c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</row>
    <row r="60" spans="1:20" ht="20.75" customHeight="1">
      <c r="A60" s="283">
        <v>43221</v>
      </c>
      <c r="B60" s="270" t="s">
        <v>122</v>
      </c>
      <c r="C60" s="285" t="s">
        <v>205</v>
      </c>
      <c r="D60" s="284">
        <v>35.36</v>
      </c>
      <c r="E60" s="282"/>
      <c r="F60" s="275"/>
      <c r="G60" s="275"/>
      <c r="H60" s="275">
        <f>$D60</f>
        <v>35.36</v>
      </c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</row>
    <row r="61" spans="1:20" ht="20.75" customHeight="1">
      <c r="A61" s="283">
        <v>43221</v>
      </c>
      <c r="B61" s="270" t="s">
        <v>122</v>
      </c>
      <c r="C61" s="285" t="s">
        <v>219</v>
      </c>
      <c r="D61" s="284">
        <v>10</v>
      </c>
      <c r="E61" s="282"/>
      <c r="F61" s="275"/>
      <c r="G61" s="275"/>
      <c r="H61" s="275"/>
      <c r="I61" s="275">
        <f>$D61</f>
        <v>10</v>
      </c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</row>
    <row r="62" spans="1:20" ht="20.75" customHeight="1">
      <c r="A62" s="283">
        <v>43220</v>
      </c>
      <c r="B62" s="270" t="s">
        <v>122</v>
      </c>
      <c r="C62" s="285" t="s">
        <v>220</v>
      </c>
      <c r="D62" s="286">
        <v>4500</v>
      </c>
      <c r="E62" s="282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>
        <f>$D62</f>
        <v>4500</v>
      </c>
    </row>
    <row r="63" spans="1:20" ht="20.75" customHeight="1">
      <c r="A63" s="283">
        <v>43220</v>
      </c>
      <c r="B63" s="270" t="s">
        <v>122</v>
      </c>
      <c r="C63" s="285" t="s">
        <v>123</v>
      </c>
      <c r="D63" s="284">
        <v>102.57</v>
      </c>
      <c r="E63" s="281" t="s">
        <v>285</v>
      </c>
      <c r="F63" s="275"/>
      <c r="G63" s="275"/>
      <c r="H63" s="275"/>
      <c r="I63" s="275"/>
      <c r="J63" s="275"/>
      <c r="K63" s="275"/>
      <c r="L63" s="275"/>
      <c r="M63" s="275"/>
      <c r="N63" s="275">
        <f>$D63</f>
        <v>102.57</v>
      </c>
      <c r="O63" s="275"/>
      <c r="P63" s="275"/>
      <c r="Q63" s="275"/>
      <c r="R63" s="275"/>
      <c r="S63" s="275"/>
      <c r="T63" s="275"/>
    </row>
    <row r="64" spans="1:20" ht="20.75" customHeight="1">
      <c r="A64" s="283">
        <v>43220</v>
      </c>
      <c r="B64" s="270" t="s">
        <v>122</v>
      </c>
      <c r="C64" s="285" t="s">
        <v>123</v>
      </c>
      <c r="D64" s="284">
        <v>428</v>
      </c>
      <c r="E64" s="281" t="s">
        <v>286</v>
      </c>
      <c r="F64" s="275"/>
      <c r="G64" s="275"/>
      <c r="H64" s="275"/>
      <c r="I64" s="275"/>
      <c r="J64" s="275"/>
      <c r="K64" s="275"/>
      <c r="L64" s="275"/>
      <c r="M64" s="275">
        <f>$D64</f>
        <v>428</v>
      </c>
      <c r="N64" s="275"/>
      <c r="O64" s="275"/>
      <c r="P64" s="275"/>
      <c r="Q64" s="275"/>
      <c r="R64" s="275"/>
      <c r="S64" s="275"/>
      <c r="T64" s="275"/>
    </row>
    <row r="65" spans="1:20" ht="20.75" customHeight="1">
      <c r="A65" s="283">
        <v>43220</v>
      </c>
      <c r="B65" s="270" t="s">
        <v>122</v>
      </c>
      <c r="C65" s="285" t="s">
        <v>123</v>
      </c>
      <c r="D65" s="284">
        <v>33</v>
      </c>
      <c r="E65" s="281" t="s">
        <v>287</v>
      </c>
      <c r="F65" s="275"/>
      <c r="G65" s="275"/>
      <c r="H65" s="275"/>
      <c r="I65" s="275"/>
      <c r="J65" s="275"/>
      <c r="K65" s="275">
        <f>$D65</f>
        <v>33</v>
      </c>
      <c r="L65" s="275"/>
      <c r="M65" s="275"/>
      <c r="N65" s="275"/>
      <c r="O65" s="275"/>
      <c r="P65" s="275"/>
      <c r="Q65" s="275"/>
      <c r="R65" s="275"/>
      <c r="S65" s="275"/>
      <c r="T65" s="275"/>
    </row>
    <row r="66" spans="1:20" ht="20.75" customHeight="1">
      <c r="A66" s="283">
        <v>43220</v>
      </c>
      <c r="B66" s="270" t="s">
        <v>122</v>
      </c>
      <c r="C66" s="285" t="s">
        <v>123</v>
      </c>
      <c r="D66" s="284">
        <v>288</v>
      </c>
      <c r="E66" s="281" t="s">
        <v>288</v>
      </c>
      <c r="F66" s="275"/>
      <c r="G66" s="275"/>
      <c r="H66" s="275">
        <f>$D66</f>
        <v>288</v>
      </c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</row>
    <row r="67" spans="1:20" ht="20.75" customHeight="1">
      <c r="A67" s="283">
        <v>43217</v>
      </c>
      <c r="B67" s="270" t="s">
        <v>122</v>
      </c>
      <c r="C67" s="285" t="s">
        <v>205</v>
      </c>
      <c r="D67" s="284">
        <v>53.05</v>
      </c>
      <c r="E67" s="282"/>
      <c r="F67" s="275"/>
      <c r="G67" s="275"/>
      <c r="H67" s="275">
        <f>$D67</f>
        <v>53.05</v>
      </c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</row>
    <row r="68" spans="1:20" ht="20.75" customHeight="1">
      <c r="A68" s="283">
        <v>43216</v>
      </c>
      <c r="B68" s="270" t="s">
        <v>122</v>
      </c>
      <c r="C68" s="285" t="s">
        <v>205</v>
      </c>
      <c r="D68" s="284">
        <v>17.68</v>
      </c>
      <c r="E68" s="282"/>
      <c r="F68" s="275"/>
      <c r="G68" s="275"/>
      <c r="H68" s="275">
        <f>$D68</f>
        <v>17.68</v>
      </c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</row>
    <row r="69" spans="1:20" ht="20.75" customHeight="1">
      <c r="A69" s="283">
        <v>43215</v>
      </c>
      <c r="B69" s="270" t="s">
        <v>122</v>
      </c>
      <c r="C69" s="285" t="s">
        <v>205</v>
      </c>
      <c r="D69" s="284">
        <v>6.86</v>
      </c>
      <c r="E69" s="282"/>
      <c r="F69" s="275"/>
      <c r="G69" s="275"/>
      <c r="H69" s="275">
        <f>$D69</f>
        <v>6.86</v>
      </c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</row>
    <row r="70" spans="1:20" ht="20.75" customHeight="1">
      <c r="A70" s="287">
        <v>43201</v>
      </c>
      <c r="B70" s="288" t="s">
        <v>122</v>
      </c>
      <c r="C70" s="289" t="s">
        <v>205</v>
      </c>
      <c r="D70" s="290">
        <v>2.94</v>
      </c>
      <c r="E70" s="282"/>
      <c r="F70" s="275"/>
      <c r="G70" s="275"/>
      <c r="H70" s="275">
        <f>$D70</f>
        <v>2.94</v>
      </c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</row>
    <row r="71" spans="1:20" ht="20.75" customHeight="1">
      <c r="A71" s="291"/>
      <c r="B71" s="292"/>
      <c r="C71" s="293"/>
      <c r="D71" s="294">
        <f>SUM($D6:$D70)</f>
        <v>19303.54</v>
      </c>
      <c r="E71" s="295"/>
      <c r="F71" s="296">
        <f t="shared" ref="F71:T71" si="1">SUM(F6:F70)</f>
        <v>16.830000000000002</v>
      </c>
      <c r="G71" s="296">
        <f t="shared" si="1"/>
        <v>8000</v>
      </c>
      <c r="H71" s="296">
        <f t="shared" si="1"/>
        <v>987.39</v>
      </c>
      <c r="I71" s="296">
        <f t="shared" si="1"/>
        <v>60</v>
      </c>
      <c r="J71" s="296">
        <f t="shared" si="1"/>
        <v>97.5</v>
      </c>
      <c r="K71" s="296">
        <f t="shared" si="1"/>
        <v>412.6</v>
      </c>
      <c r="L71" s="296">
        <f t="shared" si="1"/>
        <v>2500</v>
      </c>
      <c r="M71" s="296">
        <f t="shared" si="1"/>
        <v>696</v>
      </c>
      <c r="N71" s="296">
        <f t="shared" si="1"/>
        <v>1340.87</v>
      </c>
      <c r="O71" s="296">
        <f t="shared" si="1"/>
        <v>332.35</v>
      </c>
      <c r="P71" s="296">
        <f t="shared" si="1"/>
        <v>0</v>
      </c>
      <c r="Q71" s="296">
        <f t="shared" si="1"/>
        <v>88</v>
      </c>
      <c r="R71" s="296">
        <f t="shared" si="1"/>
        <v>47</v>
      </c>
      <c r="S71" s="296">
        <f t="shared" si="1"/>
        <v>0</v>
      </c>
      <c r="T71" s="296">
        <f t="shared" si="1"/>
        <v>4725</v>
      </c>
    </row>
    <row r="72" spans="1:20" ht="21" customHeight="1">
      <c r="A72" s="297"/>
      <c r="B72" s="298"/>
      <c r="C72" s="299"/>
      <c r="D72" s="300">
        <f>SUM(F71:T71)</f>
        <v>19303.54</v>
      </c>
      <c r="E72" s="301">
        <f>$D71-$D72</f>
        <v>0</v>
      </c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</row>
    <row r="73" spans="1:20" ht="21" customHeight="1">
      <c r="A73" s="630" t="s">
        <v>289</v>
      </c>
      <c r="B73" s="631"/>
      <c r="C73" s="632"/>
      <c r="D73" s="302"/>
      <c r="E73" s="303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</row>
    <row r="74" spans="1:20" ht="21.5" customHeight="1">
      <c r="A74" s="304"/>
      <c r="B74" s="305"/>
      <c r="C74" s="306" t="s">
        <v>290</v>
      </c>
      <c r="D74" s="307">
        <v>57.5</v>
      </c>
      <c r="E74" s="308" t="s">
        <v>82</v>
      </c>
      <c r="F74" s="275"/>
      <c r="G74" s="275"/>
      <c r="H74" s="275"/>
      <c r="I74" s="275"/>
      <c r="J74" s="275"/>
      <c r="K74" s="275"/>
      <c r="L74" s="275"/>
      <c r="M74" s="275"/>
      <c r="N74" s="275">
        <f>$D74</f>
        <v>57.5</v>
      </c>
      <c r="O74" s="275"/>
      <c r="P74" s="275"/>
      <c r="Q74" s="275"/>
      <c r="R74" s="275"/>
      <c r="S74" s="275"/>
      <c r="T74" s="275"/>
    </row>
    <row r="75" spans="1:20" ht="21.5" customHeight="1">
      <c r="A75" s="304"/>
      <c r="B75" s="309"/>
      <c r="C75" s="306" t="s">
        <v>291</v>
      </c>
      <c r="D75" s="307">
        <v>22.35</v>
      </c>
      <c r="E75" s="308" t="s">
        <v>83</v>
      </c>
      <c r="F75" s="275"/>
      <c r="G75" s="275"/>
      <c r="H75" s="275"/>
      <c r="I75" s="275"/>
      <c r="J75" s="275"/>
      <c r="K75" s="275"/>
      <c r="L75" s="275"/>
      <c r="M75" s="275"/>
      <c r="N75" s="275">
        <f>$D75</f>
        <v>22.35</v>
      </c>
      <c r="O75" s="275"/>
      <c r="P75" s="275"/>
      <c r="Q75" s="275"/>
      <c r="R75" s="275"/>
      <c r="S75" s="275"/>
      <c r="T75" s="275"/>
    </row>
    <row r="76" spans="1:20" ht="21.5" customHeight="1">
      <c r="A76" s="304"/>
      <c r="B76" s="309"/>
      <c r="C76" s="306" t="s">
        <v>91</v>
      </c>
      <c r="D76" s="307">
        <v>9.5</v>
      </c>
      <c r="E76" s="308" t="s">
        <v>84</v>
      </c>
      <c r="F76" s="275"/>
      <c r="G76" s="275"/>
      <c r="H76" s="275"/>
      <c r="I76" s="275"/>
      <c r="J76" s="275">
        <f>$D76</f>
        <v>9.5</v>
      </c>
      <c r="K76" s="275"/>
      <c r="L76" s="275"/>
      <c r="M76" s="275"/>
      <c r="N76" s="275"/>
      <c r="O76" s="275"/>
      <c r="P76" s="275"/>
      <c r="Q76" s="275"/>
      <c r="R76" s="275"/>
      <c r="S76" s="275"/>
      <c r="T76" s="275"/>
    </row>
    <row r="77" spans="1:20" ht="21.5" customHeight="1">
      <c r="A77" s="304"/>
      <c r="B77" s="309"/>
      <c r="C77" s="306" t="s">
        <v>291</v>
      </c>
      <c r="D77" s="307">
        <v>48</v>
      </c>
      <c r="E77" s="308" t="s">
        <v>85</v>
      </c>
      <c r="F77" s="275"/>
      <c r="G77" s="275"/>
      <c r="H77" s="275"/>
      <c r="I77" s="275"/>
      <c r="J77" s="275"/>
      <c r="K77" s="275"/>
      <c r="L77" s="275"/>
      <c r="M77" s="275"/>
      <c r="N77" s="275">
        <f>$D77</f>
        <v>48</v>
      </c>
      <c r="O77" s="275"/>
      <c r="P77" s="275"/>
      <c r="Q77" s="275"/>
      <c r="R77" s="275"/>
      <c r="S77" s="275"/>
      <c r="T77" s="275"/>
    </row>
    <row r="78" spans="1:20" ht="21.5" customHeight="1">
      <c r="A78" s="304"/>
      <c r="B78" s="309"/>
      <c r="C78" s="306" t="s">
        <v>137</v>
      </c>
      <c r="D78" s="307">
        <v>10</v>
      </c>
      <c r="E78" s="308" t="s">
        <v>107</v>
      </c>
      <c r="F78" s="275"/>
      <c r="G78" s="275"/>
      <c r="H78" s="275"/>
      <c r="I78" s="275"/>
      <c r="J78" s="275"/>
      <c r="K78" s="275">
        <v>10</v>
      </c>
      <c r="L78" s="275"/>
      <c r="M78" s="275"/>
      <c r="N78" s="275"/>
      <c r="O78" s="275"/>
      <c r="P78" s="275"/>
      <c r="Q78" s="275"/>
      <c r="R78" s="275"/>
      <c r="S78" s="275"/>
      <c r="T78" s="275"/>
    </row>
    <row r="79" spans="1:20" ht="21.5" customHeight="1">
      <c r="A79" s="304"/>
      <c r="B79" s="309"/>
      <c r="C79" s="306" t="s">
        <v>292</v>
      </c>
      <c r="D79" s="307">
        <v>38.299999999999997</v>
      </c>
      <c r="E79" s="308" t="s">
        <v>274</v>
      </c>
      <c r="F79" s="275"/>
      <c r="G79" s="275"/>
      <c r="H79" s="275"/>
      <c r="I79" s="275"/>
      <c r="J79" s="275"/>
      <c r="K79" s="275">
        <f>$D79</f>
        <v>38.299999999999997</v>
      </c>
      <c r="L79" s="275"/>
      <c r="M79" s="275"/>
      <c r="N79" s="275"/>
      <c r="O79" s="275"/>
      <c r="P79" s="275"/>
      <c r="Q79" s="275"/>
      <c r="R79" s="275"/>
      <c r="S79" s="275"/>
      <c r="T79" s="275"/>
    </row>
    <row r="80" spans="1:20" ht="21.5" customHeight="1">
      <c r="A80" s="304"/>
      <c r="B80" s="309"/>
      <c r="C80" s="306" t="s">
        <v>291</v>
      </c>
      <c r="D80" s="307">
        <v>21.6</v>
      </c>
      <c r="E80" s="308" t="s">
        <v>276</v>
      </c>
      <c r="F80" s="275"/>
      <c r="G80" s="275"/>
      <c r="H80" s="275"/>
      <c r="I80" s="275"/>
      <c r="J80" s="275"/>
      <c r="K80" s="275"/>
      <c r="L80" s="275"/>
      <c r="M80" s="275"/>
      <c r="N80" s="275">
        <f>$D80</f>
        <v>21.6</v>
      </c>
      <c r="O80" s="275"/>
      <c r="P80" s="275"/>
      <c r="Q80" s="275"/>
      <c r="R80" s="275"/>
      <c r="S80" s="275"/>
      <c r="T80" s="275"/>
    </row>
    <row r="81" spans="1:20" ht="21.5" customHeight="1">
      <c r="A81" s="304"/>
      <c r="B81" s="309"/>
      <c r="C81" s="306" t="s">
        <v>17</v>
      </c>
      <c r="D81" s="307">
        <v>235</v>
      </c>
      <c r="E81" s="308" t="s">
        <v>281</v>
      </c>
      <c r="F81" s="275"/>
      <c r="G81" s="275"/>
      <c r="H81" s="275"/>
      <c r="I81" s="275"/>
      <c r="J81" s="275"/>
      <c r="K81" s="275"/>
      <c r="L81" s="275"/>
      <c r="M81" s="275"/>
      <c r="N81" s="275"/>
      <c r="O81" s="275">
        <f>$D81</f>
        <v>235</v>
      </c>
      <c r="P81" s="275"/>
      <c r="Q81" s="275"/>
      <c r="R81" s="275"/>
      <c r="S81" s="275"/>
      <c r="T81" s="275"/>
    </row>
    <row r="82" spans="1:20" ht="21.5" customHeight="1">
      <c r="A82" s="304"/>
      <c r="B82" s="309"/>
      <c r="C82" s="306" t="s">
        <v>17</v>
      </c>
      <c r="D82" s="307">
        <v>24</v>
      </c>
      <c r="E82" s="308" t="s">
        <v>278</v>
      </c>
      <c r="F82" s="275"/>
      <c r="G82" s="275"/>
      <c r="H82" s="275"/>
      <c r="I82" s="275"/>
      <c r="J82" s="275"/>
      <c r="K82" s="275"/>
      <c r="L82" s="275"/>
      <c r="M82" s="275"/>
      <c r="N82" s="275"/>
      <c r="O82" s="275">
        <f>$D82</f>
        <v>24</v>
      </c>
      <c r="P82" s="275"/>
      <c r="Q82" s="275"/>
      <c r="R82" s="275"/>
      <c r="S82" s="275"/>
      <c r="T82" s="275"/>
    </row>
    <row r="83" spans="1:20" ht="21.5" customHeight="1">
      <c r="A83" s="304"/>
      <c r="B83" s="309"/>
      <c r="C83" s="306" t="s">
        <v>291</v>
      </c>
      <c r="D83" s="307">
        <v>19</v>
      </c>
      <c r="E83" s="308" t="s">
        <v>282</v>
      </c>
      <c r="F83" s="275"/>
      <c r="G83" s="275"/>
      <c r="H83" s="275"/>
      <c r="I83" s="275"/>
      <c r="J83" s="275"/>
      <c r="K83" s="275"/>
      <c r="L83" s="275"/>
      <c r="M83" s="275"/>
      <c r="N83" s="275">
        <f>$D83</f>
        <v>19</v>
      </c>
      <c r="O83" s="275"/>
      <c r="P83" s="275"/>
      <c r="Q83" s="275"/>
      <c r="R83" s="275"/>
      <c r="S83" s="275"/>
      <c r="T83" s="275"/>
    </row>
    <row r="84" spans="1:20" ht="21.5" customHeight="1">
      <c r="A84" s="304"/>
      <c r="B84" s="309"/>
      <c r="C84" s="306" t="s">
        <v>137</v>
      </c>
      <c r="D84" s="307">
        <v>20</v>
      </c>
      <c r="E84" s="308" t="s">
        <v>284</v>
      </c>
      <c r="F84" s="275"/>
      <c r="G84" s="275"/>
      <c r="H84" s="275"/>
      <c r="I84" s="275"/>
      <c r="J84" s="275"/>
      <c r="K84" s="275"/>
      <c r="L84" s="275"/>
      <c r="M84" s="275"/>
      <c r="N84" s="275">
        <f>$D84</f>
        <v>20</v>
      </c>
      <c r="O84" s="275"/>
      <c r="P84" s="275"/>
      <c r="Q84" s="275"/>
      <c r="R84" s="275"/>
      <c r="S84" s="275"/>
      <c r="T84" s="275"/>
    </row>
    <row r="85" spans="1:20" ht="21.5" customHeight="1">
      <c r="A85" s="304"/>
      <c r="B85" s="309"/>
      <c r="C85" s="306" t="s">
        <v>293</v>
      </c>
      <c r="D85" s="307">
        <v>199.63</v>
      </c>
      <c r="E85" s="308" t="s">
        <v>285</v>
      </c>
      <c r="F85" s="275"/>
      <c r="G85" s="275"/>
      <c r="H85" s="275"/>
      <c r="I85" s="275"/>
      <c r="J85" s="275"/>
      <c r="K85" s="275"/>
      <c r="L85" s="275"/>
      <c r="M85" s="275"/>
      <c r="N85" s="275">
        <f>$D85</f>
        <v>199.63</v>
      </c>
      <c r="O85" s="275"/>
      <c r="P85" s="275"/>
      <c r="Q85" s="275"/>
      <c r="R85" s="275"/>
      <c r="S85" s="275"/>
      <c r="T85" s="275"/>
    </row>
    <row r="86" spans="1:20" ht="21.5" customHeight="1">
      <c r="A86" s="304"/>
      <c r="B86" s="309"/>
      <c r="C86" s="310"/>
      <c r="D86" s="307"/>
      <c r="E86" s="311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</row>
    <row r="87" spans="1:20" ht="21.5" customHeight="1">
      <c r="A87" s="304"/>
      <c r="B87" s="309"/>
      <c r="C87" s="312" t="s">
        <v>294</v>
      </c>
      <c r="D87" s="307">
        <f>SUM($D72:$D85)</f>
        <v>20008.419999999998</v>
      </c>
      <c r="E87" s="311"/>
      <c r="F87" s="275">
        <f t="shared" ref="F87:T87" si="2">SUM(F71:F85)</f>
        <v>16.830000000000002</v>
      </c>
      <c r="G87" s="275">
        <f t="shared" si="2"/>
        <v>8000</v>
      </c>
      <c r="H87" s="275">
        <f t="shared" si="2"/>
        <v>987.39</v>
      </c>
      <c r="I87" s="275">
        <f t="shared" si="2"/>
        <v>60</v>
      </c>
      <c r="J87" s="275">
        <f t="shared" si="2"/>
        <v>107</v>
      </c>
      <c r="K87" s="275">
        <f t="shared" si="2"/>
        <v>460.90000000000003</v>
      </c>
      <c r="L87" s="275">
        <f t="shared" si="2"/>
        <v>2500</v>
      </c>
      <c r="M87" s="275">
        <f t="shared" si="2"/>
        <v>696</v>
      </c>
      <c r="N87" s="275">
        <f t="shared" si="2"/>
        <v>1728.9499999999998</v>
      </c>
      <c r="O87" s="275">
        <f t="shared" si="2"/>
        <v>591.35</v>
      </c>
      <c r="P87" s="275">
        <f t="shared" si="2"/>
        <v>0</v>
      </c>
      <c r="Q87" s="275">
        <f t="shared" si="2"/>
        <v>88</v>
      </c>
      <c r="R87" s="275">
        <f t="shared" si="2"/>
        <v>47</v>
      </c>
      <c r="S87" s="275">
        <f t="shared" si="2"/>
        <v>0</v>
      </c>
      <c r="T87" s="275">
        <f t="shared" si="2"/>
        <v>4725</v>
      </c>
    </row>
    <row r="88" spans="1:20" ht="21.5" customHeight="1">
      <c r="A88" s="304"/>
      <c r="B88" s="309"/>
      <c r="C88" s="310"/>
      <c r="D88" s="307">
        <f>SUM(F87:T87)</f>
        <v>20008.419999999998</v>
      </c>
      <c r="E88" s="311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</row>
    <row r="89" spans="1:20" ht="21.5" customHeight="1">
      <c r="A89" s="613" t="s">
        <v>295</v>
      </c>
      <c r="B89" s="614"/>
      <c r="C89" s="615"/>
      <c r="D89" s="307"/>
      <c r="E89" s="311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</row>
    <row r="90" spans="1:20" ht="21.75" customHeight="1">
      <c r="A90" s="314">
        <v>43553</v>
      </c>
      <c r="B90" s="315"/>
      <c r="C90" s="316" t="s">
        <v>296</v>
      </c>
      <c r="D90" s="317">
        <v>2.17</v>
      </c>
      <c r="E90" s="318"/>
      <c r="F90" s="275">
        <f>$D90</f>
        <v>2.17</v>
      </c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</row>
    <row r="91" spans="1:20" ht="32.75" customHeight="1">
      <c r="A91" s="313" t="s">
        <v>297</v>
      </c>
      <c r="B91" s="309"/>
      <c r="C91" s="319" t="s">
        <v>298</v>
      </c>
      <c r="D91" s="320">
        <v>4310.5</v>
      </c>
      <c r="E91" s="311"/>
      <c r="F91" s="275"/>
      <c r="G91" s="275"/>
      <c r="H91" s="275">
        <v>1938</v>
      </c>
      <c r="I91" s="275"/>
      <c r="J91" s="275">
        <v>23.5</v>
      </c>
      <c r="K91" s="275"/>
      <c r="L91" s="275"/>
      <c r="M91" s="275"/>
      <c r="N91" s="275"/>
      <c r="O91" s="275"/>
      <c r="P91" s="275"/>
      <c r="Q91" s="275">
        <v>2349</v>
      </c>
      <c r="R91" s="275"/>
      <c r="S91" s="275"/>
      <c r="T91" s="275"/>
    </row>
    <row r="92" spans="1:20" ht="21.5" customHeight="1">
      <c r="A92" s="304"/>
      <c r="B92" s="309"/>
      <c r="C92" s="310"/>
      <c r="D92" s="307"/>
      <c r="E92" s="311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</row>
    <row r="93" spans="1:20" ht="21.5" customHeight="1">
      <c r="A93" s="304"/>
      <c r="B93" s="309"/>
      <c r="C93" s="312" t="s">
        <v>294</v>
      </c>
      <c r="D93" s="307">
        <f>SUM($D88:$D92)</f>
        <v>24321.089999999997</v>
      </c>
      <c r="E93" s="311"/>
      <c r="F93" s="275">
        <f t="shared" ref="F93:T93" si="3">SUM(F87:F92)</f>
        <v>19</v>
      </c>
      <c r="G93" s="275">
        <f t="shared" si="3"/>
        <v>8000</v>
      </c>
      <c r="H93" s="275">
        <f t="shared" si="3"/>
        <v>2925.39</v>
      </c>
      <c r="I93" s="275">
        <f t="shared" si="3"/>
        <v>60</v>
      </c>
      <c r="J93" s="275">
        <f t="shared" si="3"/>
        <v>130.5</v>
      </c>
      <c r="K93" s="275">
        <f t="shared" si="3"/>
        <v>460.90000000000003</v>
      </c>
      <c r="L93" s="275">
        <f t="shared" si="3"/>
        <v>2500</v>
      </c>
      <c r="M93" s="275">
        <f t="shared" si="3"/>
        <v>696</v>
      </c>
      <c r="N93" s="275">
        <f t="shared" si="3"/>
        <v>1728.9499999999998</v>
      </c>
      <c r="O93" s="275">
        <f t="shared" si="3"/>
        <v>591.35</v>
      </c>
      <c r="P93" s="275">
        <f t="shared" si="3"/>
        <v>0</v>
      </c>
      <c r="Q93" s="275">
        <f t="shared" si="3"/>
        <v>2437</v>
      </c>
      <c r="R93" s="275">
        <f t="shared" si="3"/>
        <v>47</v>
      </c>
      <c r="S93" s="275">
        <f t="shared" si="3"/>
        <v>0</v>
      </c>
      <c r="T93" s="275">
        <f t="shared" si="3"/>
        <v>4725</v>
      </c>
    </row>
    <row r="94" spans="1:20" ht="21.75" customHeight="1">
      <c r="A94" s="304"/>
      <c r="B94" s="309"/>
      <c r="C94" s="310"/>
      <c r="D94" s="307">
        <f>SUM(F93:T93)</f>
        <v>24321.089999999997</v>
      </c>
      <c r="E94" s="321">
        <f>$D93-$D94</f>
        <v>0</v>
      </c>
      <c r="F94" s="275"/>
      <c r="G94" s="275"/>
      <c r="H94" s="275">
        <v>-47</v>
      </c>
      <c r="I94" s="275">
        <v>47</v>
      </c>
      <c r="J94" s="619" t="s">
        <v>299</v>
      </c>
      <c r="K94" s="620"/>
      <c r="L94" s="274"/>
      <c r="M94" s="275"/>
      <c r="N94" s="275"/>
      <c r="O94" s="275"/>
      <c r="P94" s="275"/>
      <c r="Q94" s="275"/>
      <c r="R94" s="616" t="s">
        <v>103</v>
      </c>
      <c r="S94" s="617"/>
      <c r="T94" s="275">
        <f>T40+T47+T49</f>
        <v>225</v>
      </c>
    </row>
    <row r="95" spans="1:20" ht="27" customHeight="1">
      <c r="A95" s="304"/>
      <c r="B95" s="309"/>
      <c r="C95" s="310"/>
      <c r="D95" s="307"/>
      <c r="E95" s="311"/>
      <c r="F95" s="275"/>
      <c r="G95" s="275"/>
      <c r="H95" s="322">
        <f>SUM(H93:H94)</f>
        <v>2878.39</v>
      </c>
      <c r="I95" s="323">
        <f>SUM(I93:I94)</f>
        <v>107</v>
      </c>
      <c r="J95" s="275"/>
      <c r="K95" s="266"/>
      <c r="L95" s="275"/>
      <c r="M95" s="275"/>
      <c r="N95" s="275"/>
      <c r="O95" s="275"/>
      <c r="P95" s="275"/>
      <c r="Q95" s="618" t="s">
        <v>300</v>
      </c>
      <c r="R95" s="617"/>
      <c r="S95" s="617"/>
      <c r="T95" s="275">
        <f>T62</f>
        <v>4500</v>
      </c>
    </row>
  </sheetData>
  <mergeCells count="9">
    <mergeCell ref="A89:C89"/>
    <mergeCell ref="R94:S94"/>
    <mergeCell ref="Q95:S95"/>
    <mergeCell ref="J94:K94"/>
    <mergeCell ref="A1:T1"/>
    <mergeCell ref="A20:C20"/>
    <mergeCell ref="A5:C5"/>
    <mergeCell ref="H47:I47"/>
    <mergeCell ref="A73:C73"/>
  </mergeCells>
  <pageMargins left="0.75" right="1" top="0.25" bottom="0.25" header="0.25" footer="0"/>
  <pageSetup scale="56" orientation="landscape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88"/>
  <sheetViews>
    <sheetView showGridLines="0" workbookViewId="0">
      <selection sqref="A1:AC1"/>
    </sheetView>
  </sheetViews>
  <sheetFormatPr baseColWidth="10" defaultColWidth="16.33203125" defaultRowHeight="20" customHeight="1"/>
  <cols>
    <col min="1" max="1" width="10.33203125" style="1" customWidth="1"/>
    <col min="2" max="2" width="7.83203125" style="1" customWidth="1"/>
    <col min="3" max="3" width="20" style="1" customWidth="1"/>
    <col min="4" max="4" width="9.5" style="1" customWidth="1"/>
    <col min="5" max="5" width="5" style="1" customWidth="1"/>
    <col min="6" max="6" width="6.83203125" style="1" customWidth="1"/>
    <col min="7" max="7" width="6.33203125" style="1" customWidth="1"/>
    <col min="8" max="8" width="6" style="1" customWidth="1"/>
    <col min="9" max="9" width="6.33203125" style="1" customWidth="1"/>
    <col min="10" max="10" width="6.5" style="1" customWidth="1"/>
    <col min="11" max="11" width="6.83203125" style="1" customWidth="1"/>
    <col min="12" max="12" width="6.33203125" style="1" customWidth="1"/>
    <col min="13" max="13" width="6.5" style="1" customWidth="1"/>
    <col min="14" max="14" width="5" style="1" customWidth="1"/>
    <col min="15" max="15" width="5.83203125" style="1" customWidth="1"/>
    <col min="16" max="17" width="6.33203125" style="1" customWidth="1"/>
    <col min="18" max="18" width="5.6640625" style="1" customWidth="1"/>
    <col min="19" max="19" width="7.6640625" style="1" customWidth="1"/>
    <col min="20" max="20" width="5.5" style="1" customWidth="1"/>
    <col min="21" max="21" width="10.33203125" style="1" customWidth="1"/>
    <col min="22" max="22" width="8" style="1" customWidth="1"/>
    <col min="23" max="23" width="7.83203125" style="1" customWidth="1"/>
    <col min="24" max="24" width="7.6640625" style="1" customWidth="1"/>
    <col min="25" max="25" width="5.6640625" style="1" customWidth="1"/>
    <col min="26" max="26" width="5" style="1" customWidth="1"/>
    <col min="27" max="27" width="6.33203125" style="1" customWidth="1"/>
    <col min="28" max="29" width="8.5" style="1" customWidth="1"/>
    <col min="30" max="30" width="16.33203125" style="1" customWidth="1"/>
    <col min="31" max="16384" width="16.33203125" style="1"/>
  </cols>
  <sheetData>
    <row r="1" spans="1:29" ht="27.75" customHeight="1">
      <c r="A1" s="633" t="s">
        <v>228</v>
      </c>
      <c r="B1" s="634"/>
      <c r="C1" s="634"/>
      <c r="D1" s="634"/>
      <c r="E1" s="634"/>
      <c r="F1" s="634"/>
      <c r="G1" s="634"/>
      <c r="H1" s="634"/>
      <c r="I1" s="634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4"/>
      <c r="AC1" s="636"/>
    </row>
    <row r="2" spans="1:29" ht="30.25" customHeight="1">
      <c r="A2" s="324" t="s">
        <v>67</v>
      </c>
      <c r="B2" s="325" t="s">
        <v>68</v>
      </c>
      <c r="C2" s="326" t="s">
        <v>90</v>
      </c>
      <c r="D2" s="327" t="s">
        <v>138</v>
      </c>
      <c r="E2" s="328"/>
      <c r="F2" s="329" t="s">
        <v>65</v>
      </c>
      <c r="G2" s="330"/>
      <c r="H2" s="330"/>
      <c r="I2" s="331"/>
      <c r="J2" s="332" t="s">
        <v>16</v>
      </c>
      <c r="K2" s="333"/>
      <c r="L2" s="333"/>
      <c r="M2" s="333"/>
      <c r="N2" s="334"/>
      <c r="O2" s="335"/>
      <c r="P2" s="336"/>
      <c r="Q2" s="333"/>
      <c r="R2" s="333"/>
      <c r="S2" s="333"/>
      <c r="T2" s="337"/>
      <c r="U2" s="332" t="s">
        <v>40</v>
      </c>
      <c r="V2" s="333"/>
      <c r="W2" s="333"/>
      <c r="X2" s="333"/>
      <c r="Y2" s="333"/>
      <c r="Z2" s="333"/>
      <c r="AA2" s="337"/>
      <c r="AB2" s="338"/>
      <c r="AC2" s="339"/>
    </row>
    <row r="3" spans="1:29" ht="31.25" customHeight="1">
      <c r="A3" s="340"/>
      <c r="B3" s="341"/>
      <c r="C3" s="342"/>
      <c r="D3" s="343"/>
      <c r="E3" s="344"/>
      <c r="F3" s="343"/>
      <c r="G3" s="344" t="s">
        <v>71</v>
      </c>
      <c r="H3" s="344" t="s">
        <v>91</v>
      </c>
      <c r="I3" s="345" t="s">
        <v>31</v>
      </c>
      <c r="J3" s="346" t="s">
        <v>13</v>
      </c>
      <c r="K3" s="347" t="s">
        <v>301</v>
      </c>
      <c r="L3" s="347" t="s">
        <v>94</v>
      </c>
      <c r="M3" s="347" t="s">
        <v>17</v>
      </c>
      <c r="N3" s="348" t="s">
        <v>22</v>
      </c>
      <c r="O3" s="349" t="s">
        <v>302</v>
      </c>
      <c r="P3" s="350" t="s">
        <v>96</v>
      </c>
      <c r="Q3" s="347" t="s">
        <v>37</v>
      </c>
      <c r="R3" s="347" t="s">
        <v>97</v>
      </c>
      <c r="S3" s="347" t="s">
        <v>21</v>
      </c>
      <c r="T3" s="351" t="s">
        <v>98</v>
      </c>
      <c r="U3" s="346" t="s">
        <v>99</v>
      </c>
      <c r="V3" s="347" t="s">
        <v>229</v>
      </c>
      <c r="W3" s="347" t="s">
        <v>303</v>
      </c>
      <c r="X3" s="347" t="s">
        <v>103</v>
      </c>
      <c r="Y3" s="347" t="s">
        <v>50</v>
      </c>
      <c r="Z3" s="347" t="s">
        <v>53</v>
      </c>
      <c r="AA3" s="351" t="s">
        <v>76</v>
      </c>
      <c r="AB3" s="352"/>
      <c r="AC3" s="343"/>
    </row>
    <row r="4" spans="1:29" ht="19.75" customHeight="1">
      <c r="A4" s="637" t="s">
        <v>265</v>
      </c>
      <c r="B4" s="638"/>
      <c r="C4" s="638"/>
      <c r="D4" s="355"/>
      <c r="E4" s="356"/>
      <c r="F4" s="357"/>
      <c r="G4" s="357"/>
      <c r="H4" s="357"/>
      <c r="I4" s="357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7"/>
      <c r="AC4" s="357"/>
    </row>
    <row r="5" spans="1:29" ht="20.25" customHeight="1">
      <c r="A5" s="359">
        <v>43539</v>
      </c>
      <c r="B5" s="360" t="s">
        <v>124</v>
      </c>
      <c r="C5" s="353" t="s">
        <v>142</v>
      </c>
      <c r="D5" s="361">
        <v>2000</v>
      </c>
      <c r="E5" s="10"/>
      <c r="F5" s="362">
        <f>$D5</f>
        <v>2000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</row>
    <row r="6" spans="1:29" ht="20.25" customHeight="1">
      <c r="A6" s="359">
        <v>43452</v>
      </c>
      <c r="B6" s="360" t="s">
        <v>124</v>
      </c>
      <c r="C6" s="353" t="s">
        <v>142</v>
      </c>
      <c r="D6" s="361">
        <v>2000</v>
      </c>
      <c r="E6" s="10"/>
      <c r="F6" s="362">
        <f>$D6</f>
        <v>2000</v>
      </c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</row>
    <row r="7" spans="1:29" ht="19.5" customHeight="1">
      <c r="A7" s="359"/>
      <c r="B7" s="363"/>
      <c r="C7" s="364"/>
      <c r="D7" s="355"/>
      <c r="E7" s="356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</row>
    <row r="8" spans="1:29" ht="19.5" customHeight="1">
      <c r="A8" s="637" t="s">
        <v>269</v>
      </c>
      <c r="B8" s="638"/>
      <c r="C8" s="638"/>
      <c r="D8" s="355"/>
      <c r="E8" s="356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</row>
    <row r="9" spans="1:29" ht="20.25" customHeight="1">
      <c r="A9" s="359">
        <v>43544</v>
      </c>
      <c r="B9" s="360" t="s">
        <v>124</v>
      </c>
      <c r="C9" s="353" t="s">
        <v>231</v>
      </c>
      <c r="D9" s="365">
        <v>1100</v>
      </c>
      <c r="E9" s="10"/>
      <c r="F9" s="357"/>
      <c r="G9" s="8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66">
        <f>$D9</f>
        <v>1100</v>
      </c>
      <c r="T9" s="357"/>
      <c r="U9" s="357"/>
      <c r="V9" s="8"/>
      <c r="W9" s="357"/>
      <c r="X9" s="357"/>
      <c r="Y9" s="357"/>
      <c r="Z9" s="357"/>
      <c r="AA9" s="357"/>
      <c r="AB9" s="357"/>
      <c r="AC9" s="357"/>
    </row>
    <row r="10" spans="1:29" ht="20.25" customHeight="1">
      <c r="A10" s="359">
        <v>43539</v>
      </c>
      <c r="B10" s="360" t="s">
        <v>124</v>
      </c>
      <c r="C10" s="353" t="s">
        <v>304</v>
      </c>
      <c r="D10" s="365">
        <v>1428</v>
      </c>
      <c r="E10" s="10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66">
        <f>$D10</f>
        <v>1428</v>
      </c>
      <c r="T10" s="357"/>
      <c r="U10" s="357"/>
      <c r="V10" s="357"/>
      <c r="W10" s="357"/>
      <c r="X10" s="357"/>
      <c r="Y10" s="357"/>
      <c r="Z10" s="357"/>
      <c r="AA10" s="357"/>
      <c r="AB10" s="357"/>
      <c r="AC10" s="357"/>
    </row>
    <row r="11" spans="1:29" ht="20.25" customHeight="1">
      <c r="A11" s="359">
        <v>43537</v>
      </c>
      <c r="B11" s="360" t="s">
        <v>124</v>
      </c>
      <c r="C11" s="353" t="s">
        <v>232</v>
      </c>
      <c r="D11" s="367">
        <v>40</v>
      </c>
      <c r="E11" s="10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62">
        <f>$D11</f>
        <v>40</v>
      </c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</row>
    <row r="12" spans="1:29" ht="20.25" customHeight="1">
      <c r="A12" s="359">
        <v>43537</v>
      </c>
      <c r="B12" s="360" t="s">
        <v>124</v>
      </c>
      <c r="C12" s="353" t="s">
        <v>147</v>
      </c>
      <c r="D12" s="367">
        <v>666</v>
      </c>
      <c r="E12" s="10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62">
        <f>$D12</f>
        <v>666</v>
      </c>
      <c r="W12" s="357"/>
      <c r="X12" s="357"/>
      <c r="Y12" s="357"/>
      <c r="Z12" s="357"/>
      <c r="AA12" s="357"/>
      <c r="AB12" s="357"/>
      <c r="AC12" s="357"/>
    </row>
    <row r="13" spans="1:29" ht="23.5" customHeight="1">
      <c r="A13" s="359">
        <v>43525</v>
      </c>
      <c r="B13" s="360" t="s">
        <v>149</v>
      </c>
      <c r="C13" s="353" t="s">
        <v>150</v>
      </c>
      <c r="D13" s="367">
        <v>75</v>
      </c>
      <c r="E13" s="10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62">
        <f>$D13</f>
        <v>75</v>
      </c>
      <c r="Y13" s="357"/>
      <c r="Z13" s="357"/>
      <c r="AA13" s="357"/>
      <c r="AB13" s="639"/>
      <c r="AC13" s="586"/>
    </row>
    <row r="14" spans="1:29" ht="32.25" customHeight="1">
      <c r="A14" s="359">
        <v>43524</v>
      </c>
      <c r="B14" s="360" t="s">
        <v>124</v>
      </c>
      <c r="C14" s="353" t="s">
        <v>236</v>
      </c>
      <c r="D14" s="367">
        <v>448</v>
      </c>
      <c r="E14" s="205" t="s">
        <v>16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62">
        <f>$D14</f>
        <v>448</v>
      </c>
      <c r="U14" s="357"/>
      <c r="V14" s="357"/>
      <c r="W14" s="357"/>
      <c r="X14" s="357"/>
      <c r="Y14" s="357"/>
      <c r="Z14" s="357"/>
      <c r="AA14" s="357"/>
      <c r="AB14" s="357"/>
      <c r="AC14" s="357"/>
    </row>
    <row r="15" spans="1:29" ht="44.25" customHeight="1">
      <c r="A15" s="359">
        <v>43522</v>
      </c>
      <c r="B15" s="360" t="s">
        <v>124</v>
      </c>
      <c r="C15" s="353" t="s">
        <v>236</v>
      </c>
      <c r="D15" s="367">
        <v>448</v>
      </c>
      <c r="E15" s="205" t="s">
        <v>39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62">
        <f>$D15</f>
        <v>448</v>
      </c>
      <c r="U15" s="357"/>
      <c r="V15" s="357"/>
      <c r="W15" s="357"/>
      <c r="X15" s="357"/>
      <c r="Y15" s="357"/>
      <c r="Z15" s="357"/>
      <c r="AA15" s="357"/>
      <c r="AB15" s="357"/>
      <c r="AC15" s="357"/>
    </row>
    <row r="16" spans="1:29" ht="20.25" customHeight="1">
      <c r="A16" s="359">
        <v>43500</v>
      </c>
      <c r="B16" s="360" t="s">
        <v>124</v>
      </c>
      <c r="C16" s="353" t="s">
        <v>305</v>
      </c>
      <c r="D16" s="367">
        <v>40.56</v>
      </c>
      <c r="E16" s="10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62">
        <f>$D16</f>
        <v>40.56</v>
      </c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</row>
    <row r="17" spans="1:29" ht="30.5" customHeight="1">
      <c r="A17" s="359">
        <v>43500</v>
      </c>
      <c r="B17" s="360" t="s">
        <v>124</v>
      </c>
      <c r="C17" s="353" t="s">
        <v>181</v>
      </c>
      <c r="D17" s="367">
        <v>103</v>
      </c>
      <c r="E17" s="10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62">
        <f>$D17</f>
        <v>103</v>
      </c>
      <c r="AB17" s="641" t="s">
        <v>306</v>
      </c>
      <c r="AC17" s="586"/>
    </row>
    <row r="18" spans="1:29" ht="20.25" customHeight="1">
      <c r="A18" s="359">
        <v>43497</v>
      </c>
      <c r="B18" s="360" t="s">
        <v>149</v>
      </c>
      <c r="C18" s="353" t="s">
        <v>150</v>
      </c>
      <c r="D18" s="367">
        <v>75</v>
      </c>
      <c r="E18" s="10"/>
      <c r="F18" s="369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62">
        <f>$D18</f>
        <v>75</v>
      </c>
      <c r="Y18" s="357"/>
      <c r="Z18" s="357"/>
      <c r="AA18" s="357"/>
      <c r="AB18" s="639"/>
      <c r="AC18" s="586"/>
    </row>
    <row r="19" spans="1:29" ht="20.25" customHeight="1">
      <c r="A19" s="359">
        <v>43474</v>
      </c>
      <c r="B19" s="360" t="s">
        <v>124</v>
      </c>
      <c r="C19" s="353" t="s">
        <v>147</v>
      </c>
      <c r="D19" s="367">
        <v>29.7</v>
      </c>
      <c r="E19" s="10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62">
        <f>$D19</f>
        <v>29.7</v>
      </c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</row>
    <row r="20" spans="1:29" ht="20.25" customHeight="1">
      <c r="A20" s="359">
        <v>43468</v>
      </c>
      <c r="B20" s="360" t="s">
        <v>124</v>
      </c>
      <c r="C20" s="353" t="s">
        <v>232</v>
      </c>
      <c r="D20" s="367">
        <v>40</v>
      </c>
      <c r="E20" s="205" t="s">
        <v>307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62">
        <f>$D20</f>
        <v>40</v>
      </c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</row>
    <row r="21" spans="1:29" ht="20.25" customHeight="1">
      <c r="A21" s="359">
        <v>43468</v>
      </c>
      <c r="B21" s="360" t="s">
        <v>124</v>
      </c>
      <c r="C21" s="353" t="s">
        <v>232</v>
      </c>
      <c r="D21" s="367">
        <v>424</v>
      </c>
      <c r="E21" s="10"/>
      <c r="F21" s="357"/>
      <c r="G21" s="8"/>
      <c r="H21" s="357"/>
      <c r="I21" s="357"/>
      <c r="J21" s="357"/>
      <c r="K21" s="357"/>
      <c r="L21" s="357"/>
      <c r="M21" s="357"/>
      <c r="N21" s="357"/>
      <c r="O21" s="357"/>
      <c r="P21" s="357"/>
      <c r="Q21" s="362">
        <f>$D21</f>
        <v>424</v>
      </c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639"/>
      <c r="AC21" s="586"/>
    </row>
    <row r="22" spans="1:29" ht="20.25" customHeight="1">
      <c r="A22" s="359">
        <v>43467</v>
      </c>
      <c r="B22" s="360" t="s">
        <v>149</v>
      </c>
      <c r="C22" s="353" t="s">
        <v>150</v>
      </c>
      <c r="D22" s="367">
        <v>75</v>
      </c>
      <c r="E22" s="10"/>
      <c r="F22" s="369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62">
        <f>$D22</f>
        <v>75</v>
      </c>
      <c r="Y22" s="357"/>
      <c r="Z22" s="357"/>
      <c r="AA22" s="357"/>
      <c r="AB22" s="586"/>
      <c r="AC22" s="586"/>
    </row>
    <row r="23" spans="1:29" ht="20.25" customHeight="1">
      <c r="A23" s="359">
        <v>43467</v>
      </c>
      <c r="B23" s="360" t="s">
        <v>149</v>
      </c>
      <c r="C23" s="353" t="s">
        <v>165</v>
      </c>
      <c r="D23" s="367">
        <v>50</v>
      </c>
      <c r="E23" s="10"/>
      <c r="F23" s="357"/>
      <c r="G23" s="357"/>
      <c r="H23" s="357"/>
      <c r="I23" s="362">
        <f>$D23</f>
        <v>50</v>
      </c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8"/>
      <c r="Y23" s="357"/>
      <c r="Z23" s="357"/>
      <c r="AA23" s="357"/>
      <c r="AB23" s="357"/>
      <c r="AC23" s="357"/>
    </row>
    <row r="24" spans="1:29" ht="20.25" customHeight="1">
      <c r="A24" s="359">
        <v>43453</v>
      </c>
      <c r="B24" s="360" t="s">
        <v>124</v>
      </c>
      <c r="C24" s="353" t="s">
        <v>157</v>
      </c>
      <c r="D24" s="367">
        <v>327.97</v>
      </c>
      <c r="E24" s="205" t="s">
        <v>308</v>
      </c>
      <c r="F24" s="357"/>
      <c r="G24" s="357"/>
      <c r="H24" s="357"/>
      <c r="I24" s="362">
        <v>49.99</v>
      </c>
      <c r="J24" s="357"/>
      <c r="K24" s="357"/>
      <c r="L24" s="357"/>
      <c r="M24" s="357"/>
      <c r="N24" s="357"/>
      <c r="O24" s="357"/>
      <c r="P24" s="357"/>
      <c r="Q24" s="362">
        <v>169.98</v>
      </c>
      <c r="R24" s="357"/>
      <c r="S24" s="357"/>
      <c r="T24" s="357"/>
      <c r="U24" s="362">
        <v>102</v>
      </c>
      <c r="V24" s="357"/>
      <c r="W24" s="362">
        <v>6</v>
      </c>
      <c r="X24" s="357"/>
      <c r="Y24" s="357"/>
      <c r="Z24" s="357"/>
      <c r="AA24" s="357"/>
      <c r="AB24" s="357"/>
      <c r="AC24" s="357"/>
    </row>
    <row r="25" spans="1:29" ht="20.25" customHeight="1">
      <c r="A25" s="359">
        <v>43452</v>
      </c>
      <c r="B25" s="360" t="s">
        <v>124</v>
      </c>
      <c r="C25" s="353" t="s">
        <v>232</v>
      </c>
      <c r="D25" s="367">
        <v>101.65</v>
      </c>
      <c r="E25" s="10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62">
        <f>$D25</f>
        <v>101.65</v>
      </c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</row>
    <row r="26" spans="1:29" ht="20.25" customHeight="1">
      <c r="A26" s="359">
        <v>43452</v>
      </c>
      <c r="B26" s="360" t="s">
        <v>124</v>
      </c>
      <c r="C26" s="353" t="s">
        <v>254</v>
      </c>
      <c r="D26" s="367">
        <v>21</v>
      </c>
      <c r="E26" s="10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62">
        <f>$D26</f>
        <v>21</v>
      </c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</row>
    <row r="27" spans="1:29" ht="20.25" customHeight="1">
      <c r="A27" s="359">
        <v>43452</v>
      </c>
      <c r="B27" s="360" t="s">
        <v>124</v>
      </c>
      <c r="C27" s="353" t="s">
        <v>147</v>
      </c>
      <c r="D27" s="367">
        <v>699.3</v>
      </c>
      <c r="E27" s="10"/>
      <c r="F27" s="357"/>
      <c r="G27" s="357"/>
      <c r="H27" s="357"/>
      <c r="I27" s="357"/>
      <c r="J27" s="357"/>
      <c r="K27" s="357"/>
      <c r="L27" s="357"/>
      <c r="M27" s="357"/>
      <c r="N27" s="362">
        <v>24.3</v>
      </c>
      <c r="O27" s="357"/>
      <c r="P27" s="357"/>
      <c r="Q27" s="357"/>
      <c r="R27" s="357"/>
      <c r="S27" s="357"/>
      <c r="T27" s="357"/>
      <c r="U27" s="357"/>
      <c r="V27" s="362">
        <v>675</v>
      </c>
      <c r="W27" s="357"/>
      <c r="X27" s="357"/>
      <c r="Y27" s="357"/>
      <c r="Z27" s="357"/>
      <c r="AA27" s="357"/>
      <c r="AB27" s="357"/>
      <c r="AC27" s="357"/>
    </row>
    <row r="28" spans="1:29" ht="20.25" customHeight="1">
      <c r="A28" s="359">
        <v>43452</v>
      </c>
      <c r="B28" s="360" t="s">
        <v>124</v>
      </c>
      <c r="C28" s="353" t="s">
        <v>238</v>
      </c>
      <c r="D28" s="367">
        <v>47.27</v>
      </c>
      <c r="E28" s="10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62">
        <f>$D28</f>
        <v>47.27</v>
      </c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</row>
    <row r="29" spans="1:29" ht="20.25" customHeight="1">
      <c r="A29" s="359">
        <v>43437</v>
      </c>
      <c r="B29" s="360" t="s">
        <v>149</v>
      </c>
      <c r="C29" s="353" t="s">
        <v>150</v>
      </c>
      <c r="D29" s="367">
        <v>75</v>
      </c>
      <c r="E29" s="10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62">
        <f>$D29</f>
        <v>75</v>
      </c>
      <c r="Y29" s="357"/>
      <c r="Z29" s="357"/>
      <c r="AA29" s="357"/>
      <c r="AB29" s="357"/>
      <c r="AC29" s="357"/>
    </row>
    <row r="30" spans="1:29" ht="20.25" customHeight="1">
      <c r="A30" s="359">
        <v>43405</v>
      </c>
      <c r="B30" s="360" t="s">
        <v>149</v>
      </c>
      <c r="C30" s="353" t="s">
        <v>150</v>
      </c>
      <c r="D30" s="367">
        <v>75</v>
      </c>
      <c r="E30" s="10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62">
        <f>$D30</f>
        <v>75</v>
      </c>
      <c r="Y30" s="357"/>
      <c r="Z30" s="357"/>
      <c r="AA30" s="357"/>
      <c r="AB30" s="357"/>
      <c r="AC30" s="357"/>
    </row>
    <row r="31" spans="1:29" ht="20.25" customHeight="1">
      <c r="A31" s="359">
        <v>43374</v>
      </c>
      <c r="B31" s="360" t="s">
        <v>149</v>
      </c>
      <c r="C31" s="353" t="s">
        <v>150</v>
      </c>
      <c r="D31" s="367">
        <v>75</v>
      </c>
      <c r="E31" s="10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62">
        <f>$D31</f>
        <v>75</v>
      </c>
      <c r="Y31" s="357"/>
      <c r="Z31" s="357"/>
      <c r="AA31" s="357"/>
      <c r="AB31" s="357"/>
      <c r="AC31" s="357"/>
    </row>
    <row r="32" spans="1:29" ht="20.25" customHeight="1">
      <c r="A32" s="359">
        <v>43374</v>
      </c>
      <c r="B32" s="360" t="s">
        <v>149</v>
      </c>
      <c r="C32" s="353" t="s">
        <v>165</v>
      </c>
      <c r="D32" s="367">
        <v>50</v>
      </c>
      <c r="E32" s="10"/>
      <c r="F32" s="357"/>
      <c r="G32" s="357"/>
      <c r="H32" s="357"/>
      <c r="I32" s="362">
        <f>$D32</f>
        <v>50</v>
      </c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8"/>
      <c r="Y32" s="357"/>
      <c r="Z32" s="357"/>
      <c r="AA32" s="357"/>
      <c r="AB32" s="357"/>
      <c r="AC32" s="357"/>
    </row>
    <row r="33" spans="1:29" ht="20.25" customHeight="1">
      <c r="A33" s="359">
        <v>43356</v>
      </c>
      <c r="B33" s="360" t="s">
        <v>124</v>
      </c>
      <c r="C33" s="353" t="s">
        <v>245</v>
      </c>
      <c r="D33" s="367">
        <v>250</v>
      </c>
      <c r="E33" s="10"/>
      <c r="F33" s="357"/>
      <c r="G33" s="357"/>
      <c r="H33" s="357"/>
      <c r="I33" s="357"/>
      <c r="J33" s="357"/>
      <c r="K33" s="357"/>
      <c r="L33" s="362">
        <f>$D33</f>
        <v>250</v>
      </c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</row>
    <row r="34" spans="1:29" ht="20.25" customHeight="1">
      <c r="A34" s="359">
        <v>43355</v>
      </c>
      <c r="B34" s="360" t="s">
        <v>124</v>
      </c>
      <c r="C34" s="353" t="s">
        <v>309</v>
      </c>
      <c r="D34" s="367">
        <v>202.8</v>
      </c>
      <c r="E34" s="10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62">
        <f>$D34</f>
        <v>202.8</v>
      </c>
      <c r="AB34" s="641" t="s">
        <v>310</v>
      </c>
      <c r="AC34" s="586"/>
    </row>
    <row r="35" spans="1:29" ht="20.25" customHeight="1">
      <c r="A35" s="359">
        <v>43355</v>
      </c>
      <c r="B35" s="360" t="s">
        <v>124</v>
      </c>
      <c r="C35" s="353" t="s">
        <v>147</v>
      </c>
      <c r="D35" s="367">
        <v>154.80000000000001</v>
      </c>
      <c r="E35" s="10"/>
      <c r="F35" s="357"/>
      <c r="G35" s="357"/>
      <c r="H35" s="357"/>
      <c r="I35" s="357"/>
      <c r="J35" s="362">
        <v>33.299999999999997</v>
      </c>
      <c r="K35" s="357"/>
      <c r="L35" s="362">
        <f>108</f>
        <v>108</v>
      </c>
      <c r="M35" s="357"/>
      <c r="N35" s="357"/>
      <c r="O35" s="362">
        <v>13.5</v>
      </c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</row>
    <row r="36" spans="1:29" ht="20.25" customHeight="1">
      <c r="A36" s="359">
        <v>43346</v>
      </c>
      <c r="B36" s="360" t="s">
        <v>149</v>
      </c>
      <c r="C36" s="353" t="s">
        <v>150</v>
      </c>
      <c r="D36" s="367">
        <v>75</v>
      </c>
      <c r="E36" s="10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62">
        <f>$D36</f>
        <v>75</v>
      </c>
      <c r="Y36" s="357"/>
      <c r="Z36" s="357"/>
      <c r="AA36" s="357"/>
      <c r="AB36" s="357"/>
      <c r="AC36" s="357"/>
    </row>
    <row r="37" spans="1:29" ht="20.25" customHeight="1">
      <c r="A37" s="359">
        <v>43328</v>
      </c>
      <c r="B37" s="360" t="s">
        <v>124</v>
      </c>
      <c r="C37" s="353" t="s">
        <v>150</v>
      </c>
      <c r="D37" s="367">
        <v>150</v>
      </c>
      <c r="E37" s="10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62">
        <f>$D37</f>
        <v>150</v>
      </c>
      <c r="Y37" s="357"/>
      <c r="Z37" s="357"/>
      <c r="AA37" s="357"/>
      <c r="AB37" s="357"/>
      <c r="AC37" s="357"/>
    </row>
    <row r="38" spans="1:29" ht="20.25" customHeight="1">
      <c r="A38" s="359">
        <v>43328</v>
      </c>
      <c r="B38" s="360" t="s">
        <v>124</v>
      </c>
      <c r="C38" s="353" t="s">
        <v>232</v>
      </c>
      <c r="D38" s="367">
        <v>71.3</v>
      </c>
      <c r="E38" s="205" t="s">
        <v>308</v>
      </c>
      <c r="F38" s="357"/>
      <c r="G38" s="357"/>
      <c r="H38" s="357"/>
      <c r="I38" s="357"/>
      <c r="J38" s="357"/>
      <c r="K38" s="357"/>
      <c r="L38" s="357"/>
      <c r="M38" s="357"/>
      <c r="N38" s="357"/>
      <c r="O38" s="362">
        <f>$D38</f>
        <v>71.3</v>
      </c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</row>
    <row r="39" spans="1:29" ht="20.25" customHeight="1">
      <c r="A39" s="370">
        <v>43315</v>
      </c>
      <c r="B39" s="360" t="s">
        <v>124</v>
      </c>
      <c r="C39" s="353" t="s">
        <v>311</v>
      </c>
      <c r="D39" s="367">
        <v>160</v>
      </c>
      <c r="E39" s="10"/>
      <c r="F39" s="357"/>
      <c r="G39" s="357"/>
      <c r="H39" s="357"/>
      <c r="I39" s="357"/>
      <c r="J39" s="357"/>
      <c r="K39" s="357"/>
      <c r="L39" s="357"/>
      <c r="M39" s="357"/>
      <c r="N39" s="357"/>
      <c r="O39" s="362">
        <f>$D39</f>
        <v>160</v>
      </c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</row>
    <row r="40" spans="1:29" ht="20.25" customHeight="1">
      <c r="A40" s="370">
        <v>43315</v>
      </c>
      <c r="B40" s="371" t="s">
        <v>124</v>
      </c>
      <c r="C40" s="372" t="s">
        <v>312</v>
      </c>
      <c r="D40" s="367">
        <v>260</v>
      </c>
      <c r="E40" s="10"/>
      <c r="F40" s="357"/>
      <c r="G40" s="357"/>
      <c r="H40" s="357"/>
      <c r="I40" s="357"/>
      <c r="J40" s="357"/>
      <c r="K40" s="357"/>
      <c r="L40" s="357"/>
      <c r="M40" s="357"/>
      <c r="N40" s="357"/>
      <c r="O40" s="362">
        <f>$D40</f>
        <v>260</v>
      </c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</row>
    <row r="41" spans="1:29" ht="20.25" customHeight="1">
      <c r="A41" s="370">
        <v>43315</v>
      </c>
      <c r="B41" s="371" t="s">
        <v>124</v>
      </c>
      <c r="C41" s="372" t="s">
        <v>313</v>
      </c>
      <c r="D41" s="367">
        <v>160</v>
      </c>
      <c r="E41" s="10"/>
      <c r="F41" s="357"/>
      <c r="G41" s="357"/>
      <c r="H41" s="357"/>
      <c r="I41" s="357"/>
      <c r="J41" s="357"/>
      <c r="K41" s="357"/>
      <c r="L41" s="357"/>
      <c r="M41" s="357"/>
      <c r="N41" s="357"/>
      <c r="O41" s="362">
        <f>$D41</f>
        <v>160</v>
      </c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</row>
    <row r="42" spans="1:29" ht="20.25" customHeight="1">
      <c r="A42" s="370">
        <v>43315</v>
      </c>
      <c r="B42" s="371" t="s">
        <v>124</v>
      </c>
      <c r="C42" s="372" t="s">
        <v>314</v>
      </c>
      <c r="D42" s="367">
        <v>160</v>
      </c>
      <c r="E42" s="10"/>
      <c r="F42" s="357"/>
      <c r="G42" s="357"/>
      <c r="H42" s="357"/>
      <c r="I42" s="357"/>
      <c r="J42" s="357"/>
      <c r="K42" s="357"/>
      <c r="L42" s="357"/>
      <c r="M42" s="357"/>
      <c r="N42" s="357"/>
      <c r="O42" s="362">
        <f>$D42</f>
        <v>160</v>
      </c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</row>
    <row r="43" spans="1:29" ht="20.25" customHeight="1">
      <c r="A43" s="370">
        <v>43313</v>
      </c>
      <c r="B43" s="371" t="s">
        <v>149</v>
      </c>
      <c r="C43" s="372" t="s">
        <v>315</v>
      </c>
      <c r="D43" s="367">
        <v>75</v>
      </c>
      <c r="E43" s="10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62">
        <f>$D43</f>
        <v>75</v>
      </c>
      <c r="Y43" s="357"/>
      <c r="Z43" s="357"/>
      <c r="AA43" s="357"/>
      <c r="AB43" s="357"/>
      <c r="AC43" s="357"/>
    </row>
    <row r="44" spans="1:29" ht="20.25" customHeight="1">
      <c r="A44" s="370">
        <v>43312</v>
      </c>
      <c r="B44" s="371" t="s">
        <v>124</v>
      </c>
      <c r="C44" s="372" t="s">
        <v>309</v>
      </c>
      <c r="D44" s="367">
        <v>113.52</v>
      </c>
      <c r="E44" s="10"/>
      <c r="F44" s="357"/>
      <c r="G44" s="357"/>
      <c r="H44" s="357"/>
      <c r="I44" s="362">
        <f>$D44</f>
        <v>113.52</v>
      </c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</row>
    <row r="45" spans="1:29" ht="20.25" customHeight="1">
      <c r="A45" s="370">
        <v>43312</v>
      </c>
      <c r="B45" s="371" t="s">
        <v>124</v>
      </c>
      <c r="C45" s="372" t="s">
        <v>147</v>
      </c>
      <c r="D45" s="367">
        <v>108</v>
      </c>
      <c r="E45" s="10"/>
      <c r="F45" s="357"/>
      <c r="G45" s="357"/>
      <c r="H45" s="357"/>
      <c r="I45" s="357"/>
      <c r="J45" s="357"/>
      <c r="K45" s="357"/>
      <c r="L45" s="357"/>
      <c r="M45" s="357"/>
      <c r="N45" s="357"/>
      <c r="O45" s="362">
        <f>$D45</f>
        <v>108</v>
      </c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</row>
    <row r="46" spans="1:29" ht="20.25" customHeight="1">
      <c r="A46" s="370">
        <v>43290</v>
      </c>
      <c r="B46" s="371" t="s">
        <v>124</v>
      </c>
      <c r="C46" s="372" t="s">
        <v>316</v>
      </c>
      <c r="D46" s="367">
        <v>150</v>
      </c>
      <c r="E46" s="10"/>
      <c r="F46" s="357"/>
      <c r="G46" s="357"/>
      <c r="H46" s="357"/>
      <c r="I46" s="357"/>
      <c r="J46" s="357"/>
      <c r="K46" s="357"/>
      <c r="L46" s="357"/>
      <c r="M46" s="362">
        <f>$D46</f>
        <v>150</v>
      </c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</row>
    <row r="47" spans="1:29" ht="20.25" customHeight="1">
      <c r="A47" s="370">
        <v>43285</v>
      </c>
      <c r="B47" s="371" t="s">
        <v>124</v>
      </c>
      <c r="C47" s="372" t="s">
        <v>317</v>
      </c>
      <c r="D47" s="367">
        <v>34.799999999999997</v>
      </c>
      <c r="E47" s="10"/>
      <c r="F47" s="357"/>
      <c r="G47" s="362">
        <f>$D47</f>
        <v>34.799999999999997</v>
      </c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</row>
    <row r="48" spans="1:29" ht="20.25" customHeight="1">
      <c r="A48" s="359">
        <v>43283</v>
      </c>
      <c r="B48" s="360" t="s">
        <v>149</v>
      </c>
      <c r="C48" s="372" t="s">
        <v>315</v>
      </c>
      <c r="D48" s="367">
        <v>75</v>
      </c>
      <c r="E48" s="10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62">
        <f>$D48</f>
        <v>75</v>
      </c>
      <c r="Y48" s="357"/>
      <c r="Z48" s="357"/>
      <c r="AA48" s="357"/>
      <c r="AB48" s="357"/>
      <c r="AC48" s="357"/>
    </row>
    <row r="49" spans="1:29" ht="20.25" customHeight="1">
      <c r="A49" s="373">
        <v>43283</v>
      </c>
      <c r="B49" s="360" t="s">
        <v>149</v>
      </c>
      <c r="C49" s="353" t="s">
        <v>165</v>
      </c>
      <c r="D49" s="367">
        <v>50</v>
      </c>
      <c r="E49" s="10"/>
      <c r="F49" s="357"/>
      <c r="G49" s="357"/>
      <c r="H49" s="357"/>
      <c r="I49" s="362">
        <f>$D49</f>
        <v>50</v>
      </c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8"/>
      <c r="Y49" s="357"/>
      <c r="Z49" s="357"/>
      <c r="AA49" s="357"/>
      <c r="AB49" s="357"/>
      <c r="AC49" s="357"/>
    </row>
    <row r="50" spans="1:29" ht="20.25" customHeight="1">
      <c r="A50" s="373">
        <v>43279</v>
      </c>
      <c r="B50" s="360" t="s">
        <v>124</v>
      </c>
      <c r="C50" s="372" t="s">
        <v>318</v>
      </c>
      <c r="D50" s="196">
        <v>300</v>
      </c>
      <c r="E50" s="10"/>
      <c r="F50" s="8"/>
      <c r="G50" s="8"/>
      <c r="H50" s="8"/>
      <c r="I50" s="8"/>
      <c r="J50" s="8"/>
      <c r="K50" s="8"/>
      <c r="L50" s="8"/>
      <c r="M50" s="8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62">
        <f>$D50</f>
        <v>300</v>
      </c>
      <c r="AA50" s="374"/>
      <c r="AB50" s="374"/>
      <c r="AC50" s="357"/>
    </row>
    <row r="51" spans="1:29" ht="20.25" customHeight="1">
      <c r="A51" s="370">
        <v>43264</v>
      </c>
      <c r="B51" s="360" t="s">
        <v>124</v>
      </c>
      <c r="C51" s="353" t="s">
        <v>232</v>
      </c>
      <c r="D51" s="367">
        <v>750</v>
      </c>
      <c r="E51" s="10"/>
      <c r="F51" s="375"/>
      <c r="G51" s="8"/>
      <c r="H51" s="8"/>
      <c r="I51" s="8"/>
      <c r="J51" s="8"/>
      <c r="K51" s="8"/>
      <c r="L51" s="8"/>
      <c r="M51" s="376">
        <f>$D51</f>
        <v>750</v>
      </c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74"/>
      <c r="AB51" s="640"/>
      <c r="AC51" s="586"/>
    </row>
    <row r="52" spans="1:29" ht="20.25" customHeight="1">
      <c r="A52" s="373">
        <v>43262</v>
      </c>
      <c r="B52" s="360" t="s">
        <v>124</v>
      </c>
      <c r="C52" s="353" t="s">
        <v>157</v>
      </c>
      <c r="D52" s="367">
        <v>164.85</v>
      </c>
      <c r="E52" s="10"/>
      <c r="F52" s="375"/>
      <c r="G52" s="8"/>
      <c r="H52" s="8"/>
      <c r="I52" s="376">
        <f>$D52</f>
        <v>164.85</v>
      </c>
      <c r="J52" s="8"/>
      <c r="K52" s="8"/>
      <c r="L52" s="8"/>
      <c r="M52" s="8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74"/>
      <c r="AB52" s="374"/>
      <c r="AC52" s="357"/>
    </row>
    <row r="53" spans="1:29" ht="20.25" customHeight="1">
      <c r="A53" s="373">
        <v>43262</v>
      </c>
      <c r="B53" s="360" t="s">
        <v>124</v>
      </c>
      <c r="C53" s="353" t="s">
        <v>147</v>
      </c>
      <c r="D53" s="367">
        <v>213.3</v>
      </c>
      <c r="E53" s="10"/>
      <c r="F53" s="375"/>
      <c r="G53" s="8"/>
      <c r="H53" s="8"/>
      <c r="I53" s="8"/>
      <c r="J53" s="376">
        <v>33.200000000000003</v>
      </c>
      <c r="K53" s="8"/>
      <c r="L53" s="8"/>
      <c r="M53" s="376">
        <v>144</v>
      </c>
      <c r="N53" s="357"/>
      <c r="O53" s="357"/>
      <c r="P53" s="357"/>
      <c r="Q53" s="357"/>
      <c r="R53" s="357"/>
      <c r="S53" s="357"/>
      <c r="T53" s="357"/>
      <c r="U53" s="357"/>
      <c r="V53" s="357"/>
      <c r="W53" s="362">
        <v>36</v>
      </c>
      <c r="X53" s="357"/>
      <c r="Y53" s="357"/>
      <c r="Z53" s="357"/>
      <c r="AA53" s="374"/>
      <c r="AB53" s="374"/>
      <c r="AC53" s="357"/>
    </row>
    <row r="54" spans="1:29" ht="20.25" customHeight="1">
      <c r="A54" s="373">
        <v>43262</v>
      </c>
      <c r="B54" s="360" t="s">
        <v>124</v>
      </c>
      <c r="C54" s="353" t="s">
        <v>181</v>
      </c>
      <c r="D54" s="367">
        <v>28.97</v>
      </c>
      <c r="E54" s="10"/>
      <c r="F54" s="375"/>
      <c r="G54" s="8"/>
      <c r="H54" s="8"/>
      <c r="I54" s="8"/>
      <c r="J54" s="8"/>
      <c r="K54" s="376">
        <f>$D54</f>
        <v>28.97</v>
      </c>
      <c r="L54" s="8"/>
      <c r="M54" s="8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</row>
    <row r="55" spans="1:29" ht="20.25" customHeight="1">
      <c r="A55" s="373">
        <v>43252</v>
      </c>
      <c r="B55" s="371" t="s">
        <v>149</v>
      </c>
      <c r="C55" s="372" t="s">
        <v>315</v>
      </c>
      <c r="D55" s="196">
        <v>75</v>
      </c>
      <c r="E55" s="10"/>
      <c r="F55" s="375"/>
      <c r="G55" s="8"/>
      <c r="H55" s="8"/>
      <c r="I55" s="8"/>
      <c r="J55" s="8"/>
      <c r="K55" s="8"/>
      <c r="L55" s="8"/>
      <c r="M55" s="8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62">
        <f>$D55</f>
        <v>75</v>
      </c>
      <c r="Y55" s="357"/>
      <c r="Z55" s="357"/>
      <c r="AA55" s="357"/>
      <c r="AB55" s="357"/>
      <c r="AC55" s="357"/>
    </row>
    <row r="56" spans="1:29" ht="20.25" customHeight="1">
      <c r="A56" s="373">
        <v>43241</v>
      </c>
      <c r="B56" s="371" t="s">
        <v>124</v>
      </c>
      <c r="C56" s="372" t="s">
        <v>250</v>
      </c>
      <c r="D56" s="192">
        <v>4000</v>
      </c>
      <c r="E56" s="10"/>
      <c r="F56" s="377">
        <f>$D56</f>
        <v>4000</v>
      </c>
      <c r="G56" s="8"/>
      <c r="H56" s="8"/>
      <c r="I56" s="8"/>
      <c r="J56" s="8"/>
      <c r="K56" s="8"/>
      <c r="L56" s="8"/>
      <c r="M56" s="8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</row>
    <row r="57" spans="1:29" ht="20.25" customHeight="1">
      <c r="A57" s="373">
        <v>43234</v>
      </c>
      <c r="B57" s="371" t="s">
        <v>124</v>
      </c>
      <c r="C57" s="372" t="s">
        <v>319</v>
      </c>
      <c r="D57" s="196">
        <v>49.76</v>
      </c>
      <c r="E57" s="10"/>
      <c r="F57" s="375"/>
      <c r="G57" s="8"/>
      <c r="H57" s="8"/>
      <c r="I57" s="8"/>
      <c r="J57" s="8"/>
      <c r="K57" s="8"/>
      <c r="L57" s="8"/>
      <c r="M57" s="8"/>
      <c r="N57" s="357"/>
      <c r="O57" s="362">
        <f>$D57</f>
        <v>49.76</v>
      </c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</row>
    <row r="58" spans="1:29" ht="20.25" customHeight="1">
      <c r="A58" s="373">
        <v>43234</v>
      </c>
      <c r="B58" s="371" t="s">
        <v>124</v>
      </c>
      <c r="C58" s="372" t="s">
        <v>232</v>
      </c>
      <c r="D58" s="196">
        <v>69.08</v>
      </c>
      <c r="E58" s="10"/>
      <c r="F58" s="375"/>
      <c r="G58" s="8"/>
      <c r="H58" s="8"/>
      <c r="I58" s="8"/>
      <c r="J58" s="8"/>
      <c r="K58" s="8"/>
      <c r="L58" s="8"/>
      <c r="M58" s="8"/>
      <c r="N58" s="357"/>
      <c r="O58" s="357"/>
      <c r="P58" s="357"/>
      <c r="Q58" s="357"/>
      <c r="R58" s="357"/>
      <c r="S58" s="357"/>
      <c r="T58" s="357"/>
      <c r="U58" s="357"/>
      <c r="V58" s="357"/>
      <c r="W58" s="362">
        <f>$D58</f>
        <v>69.08</v>
      </c>
      <c r="X58" s="357"/>
      <c r="Y58" s="357"/>
      <c r="Z58" s="357"/>
      <c r="AA58" s="357"/>
      <c r="AB58" s="357"/>
      <c r="AC58" s="357"/>
    </row>
    <row r="59" spans="1:29" ht="56.25" customHeight="1">
      <c r="A59" s="373">
        <v>43234</v>
      </c>
      <c r="B59" s="371" t="s">
        <v>124</v>
      </c>
      <c r="C59" s="372" t="s">
        <v>258</v>
      </c>
      <c r="D59" s="192">
        <v>1200</v>
      </c>
      <c r="E59" s="205" t="s">
        <v>320</v>
      </c>
      <c r="F59" s="375"/>
      <c r="G59" s="8"/>
      <c r="H59" s="8"/>
      <c r="I59" s="8"/>
      <c r="J59" s="8"/>
      <c r="K59" s="8"/>
      <c r="L59" s="8"/>
      <c r="M59" s="8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66">
        <f>$D59</f>
        <v>1200</v>
      </c>
      <c r="Z59" s="357"/>
      <c r="AA59" s="357"/>
      <c r="AB59" s="357"/>
      <c r="AC59" s="357"/>
    </row>
    <row r="60" spans="1:29" ht="20.25" customHeight="1">
      <c r="A60" s="373">
        <v>43221</v>
      </c>
      <c r="B60" s="371" t="s">
        <v>149</v>
      </c>
      <c r="C60" s="372" t="s">
        <v>315</v>
      </c>
      <c r="D60" s="196">
        <v>75</v>
      </c>
      <c r="E60" s="10"/>
      <c r="F60" s="375"/>
      <c r="G60" s="8"/>
      <c r="H60" s="8"/>
      <c r="I60" s="8"/>
      <c r="J60" s="8"/>
      <c r="K60" s="8"/>
      <c r="L60" s="8"/>
      <c r="M60" s="8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62">
        <f>$D60</f>
        <v>75</v>
      </c>
      <c r="Y60" s="357"/>
      <c r="Z60" s="357"/>
      <c r="AA60" s="357"/>
      <c r="AB60" s="357"/>
      <c r="AC60" s="357"/>
    </row>
    <row r="61" spans="1:29" ht="20.25" customHeight="1">
      <c r="A61" s="373">
        <v>43193</v>
      </c>
      <c r="B61" s="371" t="s">
        <v>149</v>
      </c>
      <c r="C61" s="372" t="s">
        <v>315</v>
      </c>
      <c r="D61" s="196">
        <v>75</v>
      </c>
      <c r="E61" s="10"/>
      <c r="F61" s="375"/>
      <c r="G61" s="8"/>
      <c r="H61" s="8"/>
      <c r="I61" s="8"/>
      <c r="J61" s="8"/>
      <c r="K61" s="8"/>
      <c r="L61" s="8"/>
      <c r="M61" s="8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62">
        <f>$D61</f>
        <v>75</v>
      </c>
      <c r="Y61" s="357"/>
      <c r="Z61" s="357"/>
      <c r="AA61" s="357"/>
      <c r="AB61" s="357"/>
      <c r="AC61" s="357"/>
    </row>
    <row r="62" spans="1:29" ht="20.25" customHeight="1">
      <c r="A62" s="373">
        <v>43193</v>
      </c>
      <c r="B62" s="371" t="s">
        <v>149</v>
      </c>
      <c r="C62" s="372" t="s">
        <v>165</v>
      </c>
      <c r="D62" s="196">
        <v>50</v>
      </c>
      <c r="E62" s="10"/>
      <c r="F62" s="375"/>
      <c r="G62" s="8"/>
      <c r="H62" s="8"/>
      <c r="I62" s="362">
        <f>$D62</f>
        <v>50</v>
      </c>
      <c r="J62" s="8"/>
      <c r="K62" s="8"/>
      <c r="L62" s="8"/>
      <c r="M62" s="8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8"/>
      <c r="Y62" s="357"/>
      <c r="Z62" s="357"/>
      <c r="AA62" s="357"/>
      <c r="AB62" s="357"/>
      <c r="AC62" s="357"/>
    </row>
    <row r="63" spans="1:29" ht="20.25" customHeight="1">
      <c r="A63" s="378"/>
      <c r="B63" s="379"/>
      <c r="C63" s="380"/>
      <c r="D63" s="210">
        <f>SUM($D5:$D62)</f>
        <v>19815.629999999994</v>
      </c>
      <c r="E63" s="381"/>
      <c r="F63" s="212">
        <f t="shared" ref="F63:AA63" si="0">SUM(F5:F62)</f>
        <v>8000</v>
      </c>
      <c r="G63" s="212">
        <f t="shared" si="0"/>
        <v>34.799999999999997</v>
      </c>
      <c r="H63" s="212">
        <f t="shared" si="0"/>
        <v>0</v>
      </c>
      <c r="I63" s="212">
        <f t="shared" si="0"/>
        <v>528.36</v>
      </c>
      <c r="J63" s="212">
        <f t="shared" si="0"/>
        <v>66.5</v>
      </c>
      <c r="K63" s="212">
        <f t="shared" si="0"/>
        <v>28.97</v>
      </c>
      <c r="L63" s="212">
        <f t="shared" si="0"/>
        <v>358</v>
      </c>
      <c r="M63" s="212">
        <f t="shared" si="0"/>
        <v>1044</v>
      </c>
      <c r="N63" s="212">
        <f t="shared" si="0"/>
        <v>24.3</v>
      </c>
      <c r="O63" s="212">
        <f t="shared" si="0"/>
        <v>982.56</v>
      </c>
      <c r="P63" s="212">
        <f t="shared" si="0"/>
        <v>188.92000000000002</v>
      </c>
      <c r="Q63" s="212">
        <f t="shared" si="0"/>
        <v>644.67999999999995</v>
      </c>
      <c r="R63" s="212">
        <f t="shared" si="0"/>
        <v>80.56</v>
      </c>
      <c r="S63" s="212">
        <f t="shared" si="0"/>
        <v>2528</v>
      </c>
      <c r="T63" s="212">
        <f t="shared" si="0"/>
        <v>896</v>
      </c>
      <c r="U63" s="212">
        <f t="shared" si="0"/>
        <v>102</v>
      </c>
      <c r="V63" s="212">
        <f t="shared" si="0"/>
        <v>1341</v>
      </c>
      <c r="W63" s="212">
        <f t="shared" si="0"/>
        <v>111.08</v>
      </c>
      <c r="X63" s="212">
        <f t="shared" si="0"/>
        <v>1050</v>
      </c>
      <c r="Y63" s="212">
        <f t="shared" si="0"/>
        <v>1200</v>
      </c>
      <c r="Z63" s="212">
        <f t="shared" si="0"/>
        <v>300</v>
      </c>
      <c r="AA63" s="212">
        <f t="shared" si="0"/>
        <v>305.8</v>
      </c>
      <c r="AB63" s="375"/>
      <c r="AC63" s="375"/>
    </row>
    <row r="64" spans="1:29" ht="20.25" customHeight="1">
      <c r="A64" s="373"/>
      <c r="B64" s="382"/>
      <c r="C64" s="383" t="s">
        <v>79</v>
      </c>
      <c r="D64" s="196">
        <f>SUM(F63:AA63)</f>
        <v>19815.53</v>
      </c>
      <c r="E64" s="384">
        <f>$D63-$D64</f>
        <v>9.999999999490683E-2</v>
      </c>
      <c r="F64" s="375"/>
      <c r="G64" s="8"/>
      <c r="H64" s="8"/>
      <c r="I64" s="8"/>
      <c r="J64" s="8"/>
      <c r="K64" s="8"/>
      <c r="L64" s="8"/>
      <c r="M64" s="8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</row>
    <row r="65" spans="1:29" ht="20.25" customHeight="1">
      <c r="A65" s="642" t="s">
        <v>289</v>
      </c>
      <c r="B65" s="643"/>
      <c r="C65" s="644"/>
      <c r="D65" s="196"/>
      <c r="E65" s="10"/>
      <c r="F65" s="375"/>
      <c r="G65" s="8"/>
      <c r="H65" s="8"/>
      <c r="I65" s="8"/>
      <c r="J65" s="8"/>
      <c r="K65" s="8"/>
      <c r="L65" s="8"/>
      <c r="M65" s="8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</row>
    <row r="66" spans="1:29" ht="20.25" customHeight="1">
      <c r="A66" s="373"/>
      <c r="B66" s="382"/>
      <c r="C66" s="372" t="s">
        <v>290</v>
      </c>
      <c r="D66" s="196">
        <v>57.5</v>
      </c>
      <c r="E66" s="205" t="s">
        <v>82</v>
      </c>
      <c r="F66" s="375"/>
      <c r="G66" s="8"/>
      <c r="H66" s="8"/>
      <c r="I66" s="8"/>
      <c r="J66" s="8"/>
      <c r="K66" s="8"/>
      <c r="L66" s="8"/>
      <c r="M66" s="8"/>
      <c r="N66" s="357"/>
      <c r="O66" s="357"/>
      <c r="P66" s="357"/>
      <c r="Q66" s="357"/>
      <c r="R66" s="357"/>
      <c r="S66" s="357"/>
      <c r="T66" s="357"/>
      <c r="U66" s="362">
        <f>$D66-W66</f>
        <v>38.5</v>
      </c>
      <c r="V66" s="357"/>
      <c r="W66" s="362">
        <f>19</f>
        <v>19</v>
      </c>
      <c r="X66" s="357"/>
      <c r="Y66" s="357"/>
      <c r="Z66" s="357"/>
      <c r="AA66" s="357"/>
      <c r="AB66" s="357"/>
      <c r="AC66" s="357"/>
    </row>
    <row r="67" spans="1:29" ht="20.25" customHeight="1">
      <c r="A67" s="385"/>
      <c r="B67" s="354"/>
      <c r="C67" s="386" t="s">
        <v>291</v>
      </c>
      <c r="D67" s="387">
        <v>22.35</v>
      </c>
      <c r="E67" s="205" t="s">
        <v>83</v>
      </c>
      <c r="F67" s="375"/>
      <c r="G67" s="8"/>
      <c r="H67" s="8"/>
      <c r="I67" s="8"/>
      <c r="J67" s="8"/>
      <c r="K67" s="8"/>
      <c r="L67" s="8"/>
      <c r="M67" s="8"/>
      <c r="N67" s="357"/>
      <c r="O67" s="357"/>
      <c r="P67" s="357"/>
      <c r="Q67" s="357"/>
      <c r="R67" s="357"/>
      <c r="S67" s="357"/>
      <c r="T67" s="357"/>
      <c r="U67" s="357"/>
      <c r="V67" s="357"/>
      <c r="W67" s="366">
        <f>$D67</f>
        <v>22.35</v>
      </c>
      <c r="X67" s="357"/>
      <c r="Y67" s="357"/>
      <c r="Z67" s="357"/>
      <c r="AA67" s="357"/>
      <c r="AB67" s="357"/>
      <c r="AC67" s="357"/>
    </row>
    <row r="68" spans="1:29" ht="20.25" customHeight="1">
      <c r="A68" s="385"/>
      <c r="B68" s="354"/>
      <c r="C68" s="386" t="s">
        <v>91</v>
      </c>
      <c r="D68" s="387">
        <v>9.5</v>
      </c>
      <c r="E68" s="205" t="s">
        <v>84</v>
      </c>
      <c r="F68" s="375"/>
      <c r="G68" s="8"/>
      <c r="H68" s="8"/>
      <c r="I68" s="8"/>
      <c r="J68" s="8"/>
      <c r="K68" s="8"/>
      <c r="L68" s="8"/>
      <c r="M68" s="8"/>
      <c r="N68" s="357"/>
      <c r="O68" s="357"/>
      <c r="P68" s="357"/>
      <c r="Q68" s="357"/>
      <c r="R68" s="357"/>
      <c r="S68" s="357"/>
      <c r="T68" s="357"/>
      <c r="U68" s="366">
        <f>$D68</f>
        <v>9.5</v>
      </c>
      <c r="V68" s="357"/>
      <c r="W68" s="357"/>
      <c r="X68" s="357"/>
      <c r="Y68" s="357"/>
      <c r="Z68" s="357"/>
      <c r="AA68" s="357"/>
      <c r="AB68" s="357"/>
      <c r="AC68" s="357"/>
    </row>
    <row r="69" spans="1:29" ht="20.25" customHeight="1">
      <c r="A69" s="385"/>
      <c r="B69" s="354"/>
      <c r="C69" s="386" t="s">
        <v>291</v>
      </c>
      <c r="D69" s="387">
        <v>48</v>
      </c>
      <c r="E69" s="205" t="s">
        <v>85</v>
      </c>
      <c r="F69" s="375"/>
      <c r="G69" s="8"/>
      <c r="H69" s="8"/>
      <c r="I69" s="8"/>
      <c r="J69" s="8"/>
      <c r="K69" s="8"/>
      <c r="L69" s="8"/>
      <c r="M69" s="8"/>
      <c r="N69" s="357"/>
      <c r="O69" s="357"/>
      <c r="P69" s="357"/>
      <c r="Q69" s="357"/>
      <c r="R69" s="357"/>
      <c r="S69" s="357"/>
      <c r="T69" s="357"/>
      <c r="U69" s="357"/>
      <c r="V69" s="357"/>
      <c r="W69" s="366">
        <f>$D69</f>
        <v>48</v>
      </c>
      <c r="X69" s="357"/>
      <c r="Y69" s="357"/>
      <c r="Z69" s="357"/>
      <c r="AA69" s="357"/>
      <c r="AB69" s="357"/>
      <c r="AC69" s="357"/>
    </row>
    <row r="70" spans="1:29" ht="20.25" customHeight="1">
      <c r="A70" s="385"/>
      <c r="B70" s="354"/>
      <c r="C70" s="386" t="s">
        <v>137</v>
      </c>
      <c r="D70" s="387">
        <v>10</v>
      </c>
      <c r="E70" s="205" t="s">
        <v>107</v>
      </c>
      <c r="F70" s="375"/>
      <c r="G70" s="8"/>
      <c r="H70" s="8"/>
      <c r="I70" s="8"/>
      <c r="J70" s="8"/>
      <c r="K70" s="8"/>
      <c r="L70" s="8"/>
      <c r="M70" s="8"/>
      <c r="N70" s="357"/>
      <c r="O70" s="357"/>
      <c r="P70" s="357"/>
      <c r="Q70" s="357"/>
      <c r="R70" s="357"/>
      <c r="S70" s="357"/>
      <c r="T70" s="357"/>
      <c r="U70" s="366">
        <f>$D70</f>
        <v>10</v>
      </c>
      <c r="V70" s="357"/>
      <c r="W70" s="357"/>
      <c r="X70" s="357"/>
      <c r="Y70" s="357"/>
      <c r="Z70" s="357"/>
      <c r="AA70" s="357"/>
      <c r="AB70" s="357"/>
      <c r="AC70" s="357"/>
    </row>
    <row r="71" spans="1:29" ht="20.25" customHeight="1">
      <c r="A71" s="385"/>
      <c r="B71" s="354"/>
      <c r="C71" s="386" t="s">
        <v>292</v>
      </c>
      <c r="D71" s="387">
        <v>38.299999999999997</v>
      </c>
      <c r="E71" s="205" t="s">
        <v>274</v>
      </c>
      <c r="F71" s="375"/>
      <c r="G71" s="8"/>
      <c r="H71" s="8"/>
      <c r="I71" s="376">
        <f>$D71-U71</f>
        <v>36.799999999999997</v>
      </c>
      <c r="J71" s="8"/>
      <c r="K71" s="8"/>
      <c r="L71" s="8"/>
      <c r="M71" s="8"/>
      <c r="N71" s="357"/>
      <c r="O71" s="357"/>
      <c r="P71" s="357"/>
      <c r="Q71" s="357"/>
      <c r="R71" s="357"/>
      <c r="S71" s="357"/>
      <c r="T71" s="357"/>
      <c r="U71" s="362">
        <v>1.5</v>
      </c>
      <c r="V71" s="357"/>
      <c r="W71" s="357"/>
      <c r="X71" s="357"/>
      <c r="Y71" s="357"/>
      <c r="Z71" s="357"/>
      <c r="AA71" s="357"/>
      <c r="AB71" s="357"/>
      <c r="AC71" s="357"/>
    </row>
    <row r="72" spans="1:29" ht="20.25" customHeight="1">
      <c r="A72" s="385"/>
      <c r="B72" s="354"/>
      <c r="C72" s="386" t="s">
        <v>291</v>
      </c>
      <c r="D72" s="387">
        <v>21.6</v>
      </c>
      <c r="E72" s="205" t="s">
        <v>276</v>
      </c>
      <c r="F72" s="375"/>
      <c r="G72" s="8"/>
      <c r="H72" s="8"/>
      <c r="I72" s="8"/>
      <c r="J72" s="8"/>
      <c r="K72" s="8"/>
      <c r="L72" s="8"/>
      <c r="M72" s="8"/>
      <c r="N72" s="357"/>
      <c r="O72" s="357"/>
      <c r="P72" s="357"/>
      <c r="Q72" s="357"/>
      <c r="R72" s="357"/>
      <c r="S72" s="357"/>
      <c r="T72" s="357"/>
      <c r="U72" s="366">
        <f>$D72</f>
        <v>21.6</v>
      </c>
      <c r="V72" s="357"/>
      <c r="W72" s="357"/>
      <c r="X72" s="357"/>
      <c r="Y72" s="357"/>
      <c r="Z72" s="357"/>
      <c r="AA72" s="357"/>
      <c r="AB72" s="357"/>
      <c r="AC72" s="357"/>
    </row>
    <row r="73" spans="1:29" ht="20.25" customHeight="1">
      <c r="A73" s="385"/>
      <c r="B73" s="354"/>
      <c r="C73" s="386" t="s">
        <v>17</v>
      </c>
      <c r="D73" s="387">
        <v>235</v>
      </c>
      <c r="E73" s="205" t="s">
        <v>281</v>
      </c>
      <c r="F73" s="375"/>
      <c r="G73" s="8"/>
      <c r="H73" s="8"/>
      <c r="I73" s="8"/>
      <c r="J73" s="8"/>
      <c r="K73" s="8"/>
      <c r="L73" s="8"/>
      <c r="M73" s="376">
        <f>$D73</f>
        <v>235</v>
      </c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</row>
    <row r="74" spans="1:29" ht="20.25" customHeight="1">
      <c r="A74" s="385"/>
      <c r="B74" s="354"/>
      <c r="C74" s="386" t="s">
        <v>17</v>
      </c>
      <c r="D74" s="387">
        <v>24</v>
      </c>
      <c r="E74" s="205" t="s">
        <v>278</v>
      </c>
      <c r="F74" s="375"/>
      <c r="G74" s="8"/>
      <c r="H74" s="8"/>
      <c r="I74" s="8"/>
      <c r="J74" s="8"/>
      <c r="K74" s="8"/>
      <c r="L74" s="8"/>
      <c r="M74" s="376">
        <f>$D74</f>
        <v>24</v>
      </c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</row>
    <row r="75" spans="1:29" ht="20.25" customHeight="1">
      <c r="A75" s="385"/>
      <c r="B75" s="354"/>
      <c r="C75" s="386" t="s">
        <v>291</v>
      </c>
      <c r="D75" s="387">
        <v>19</v>
      </c>
      <c r="E75" s="205" t="s">
        <v>282</v>
      </c>
      <c r="F75" s="375"/>
      <c r="G75" s="8"/>
      <c r="H75" s="8"/>
      <c r="I75" s="8"/>
      <c r="J75" s="8"/>
      <c r="K75" s="8"/>
      <c r="L75" s="8"/>
      <c r="M75" s="8"/>
      <c r="N75" s="357"/>
      <c r="O75" s="357"/>
      <c r="P75" s="357"/>
      <c r="Q75" s="357"/>
      <c r="R75" s="357"/>
      <c r="S75" s="357"/>
      <c r="T75" s="357"/>
      <c r="U75" s="357"/>
      <c r="V75" s="357"/>
      <c r="W75" s="366">
        <f>$D75</f>
        <v>19</v>
      </c>
      <c r="X75" s="357"/>
      <c r="Y75" s="357"/>
      <c r="Z75" s="357"/>
      <c r="AA75" s="357"/>
      <c r="AB75" s="357"/>
      <c r="AC75" s="357"/>
    </row>
    <row r="76" spans="1:29" ht="20.25" customHeight="1">
      <c r="A76" s="385"/>
      <c r="B76" s="354"/>
      <c r="C76" s="386" t="s">
        <v>137</v>
      </c>
      <c r="D76" s="387">
        <v>20</v>
      </c>
      <c r="E76" s="205" t="s">
        <v>284</v>
      </c>
      <c r="F76" s="375"/>
      <c r="G76" s="8"/>
      <c r="H76" s="8"/>
      <c r="I76" s="8"/>
      <c r="J76" s="8"/>
      <c r="K76" s="8"/>
      <c r="L76" s="8"/>
      <c r="M76" s="8"/>
      <c r="N76" s="357"/>
      <c r="O76" s="357"/>
      <c r="P76" s="357"/>
      <c r="Q76" s="357"/>
      <c r="R76" s="357"/>
      <c r="S76" s="357"/>
      <c r="T76" s="357"/>
      <c r="U76" s="366">
        <f>$D76</f>
        <v>20</v>
      </c>
      <c r="V76" s="357"/>
      <c r="W76" s="357"/>
      <c r="X76" s="357"/>
      <c r="Y76" s="357"/>
      <c r="Z76" s="357"/>
      <c r="AA76" s="357"/>
      <c r="AB76" s="357"/>
      <c r="AC76" s="357"/>
    </row>
    <row r="77" spans="1:29" ht="20.25" customHeight="1">
      <c r="A77" s="385"/>
      <c r="B77" s="354"/>
      <c r="C77" s="386" t="s">
        <v>293</v>
      </c>
      <c r="D77" s="387">
        <v>199.63</v>
      </c>
      <c r="E77" s="205" t="s">
        <v>285</v>
      </c>
      <c r="F77" s="375"/>
      <c r="G77" s="8"/>
      <c r="H77" s="8"/>
      <c r="I77" s="8"/>
      <c r="J77" s="8"/>
      <c r="K77" s="8"/>
      <c r="L77" s="8"/>
      <c r="M77" s="8"/>
      <c r="N77" s="357"/>
      <c r="O77" s="357"/>
      <c r="P77" s="357"/>
      <c r="Q77" s="357"/>
      <c r="R77" s="357"/>
      <c r="S77" s="357"/>
      <c r="T77" s="357"/>
      <c r="U77" s="366">
        <f>$D77-W77-Z77</f>
        <v>55.05</v>
      </c>
      <c r="V77" s="357"/>
      <c r="W77" s="362">
        <f>59.5</f>
        <v>59.5</v>
      </c>
      <c r="X77" s="357"/>
      <c r="Y77" s="357"/>
      <c r="Z77" s="362">
        <v>85.08</v>
      </c>
      <c r="AA77" s="357"/>
      <c r="AB77" s="357"/>
      <c r="AC77" s="357"/>
    </row>
    <row r="78" spans="1:29" ht="20.25" customHeight="1">
      <c r="A78" s="385"/>
      <c r="B78" s="354"/>
      <c r="C78" s="354"/>
      <c r="D78" s="387"/>
      <c r="E78" s="10"/>
      <c r="F78" s="375"/>
      <c r="G78" s="8"/>
      <c r="H78" s="8"/>
      <c r="I78" s="8"/>
      <c r="J78" s="8"/>
      <c r="K78" s="8"/>
      <c r="L78" s="8"/>
      <c r="M78" s="8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</row>
    <row r="79" spans="1:29" ht="20.25" customHeight="1">
      <c r="A79" s="385"/>
      <c r="B79" s="354"/>
      <c r="C79" s="383" t="s">
        <v>79</v>
      </c>
      <c r="D79" s="387">
        <f>SUM($D64:$D77)</f>
        <v>20520.409999999996</v>
      </c>
      <c r="E79" s="10"/>
      <c r="F79" s="377">
        <f t="shared" ref="F79:AA79" si="1">SUM(F63:F77)</f>
        <v>8000</v>
      </c>
      <c r="G79" s="377">
        <f t="shared" si="1"/>
        <v>34.799999999999997</v>
      </c>
      <c r="H79" s="377">
        <f t="shared" si="1"/>
        <v>0</v>
      </c>
      <c r="I79" s="377">
        <f t="shared" si="1"/>
        <v>565.16</v>
      </c>
      <c r="J79" s="377">
        <f t="shared" si="1"/>
        <v>66.5</v>
      </c>
      <c r="K79" s="377">
        <f t="shared" si="1"/>
        <v>28.97</v>
      </c>
      <c r="L79" s="377">
        <f t="shared" si="1"/>
        <v>358</v>
      </c>
      <c r="M79" s="377">
        <f t="shared" si="1"/>
        <v>1303</v>
      </c>
      <c r="N79" s="377">
        <f t="shared" si="1"/>
        <v>24.3</v>
      </c>
      <c r="O79" s="377">
        <f t="shared" si="1"/>
        <v>982.56</v>
      </c>
      <c r="P79" s="377">
        <f t="shared" si="1"/>
        <v>188.92000000000002</v>
      </c>
      <c r="Q79" s="377">
        <f t="shared" si="1"/>
        <v>644.67999999999995</v>
      </c>
      <c r="R79" s="377">
        <f t="shared" si="1"/>
        <v>80.56</v>
      </c>
      <c r="S79" s="377">
        <f t="shared" si="1"/>
        <v>2528</v>
      </c>
      <c r="T79" s="377">
        <f t="shared" si="1"/>
        <v>896</v>
      </c>
      <c r="U79" s="388">
        <f t="shared" si="1"/>
        <v>258.14999999999998</v>
      </c>
      <c r="V79" s="377">
        <f t="shared" si="1"/>
        <v>1341</v>
      </c>
      <c r="W79" s="377">
        <f t="shared" si="1"/>
        <v>278.92999999999995</v>
      </c>
      <c r="X79" s="377">
        <f t="shared" si="1"/>
        <v>1050</v>
      </c>
      <c r="Y79" s="377">
        <f t="shared" si="1"/>
        <v>1200</v>
      </c>
      <c r="Z79" s="377">
        <f t="shared" si="1"/>
        <v>385.08</v>
      </c>
      <c r="AA79" s="377">
        <f t="shared" si="1"/>
        <v>305.8</v>
      </c>
      <c r="AB79" s="357"/>
      <c r="AC79" s="357"/>
    </row>
    <row r="80" spans="1:29" ht="20.25" customHeight="1">
      <c r="A80" s="385"/>
      <c r="B80" s="354"/>
      <c r="C80" s="354"/>
      <c r="D80" s="387">
        <f>SUM(F79:AC79)</f>
        <v>20520.41</v>
      </c>
      <c r="E80" s="10"/>
      <c r="F80" s="375"/>
      <c r="G80" s="8"/>
      <c r="H80" s="8"/>
      <c r="I80" s="8"/>
      <c r="J80" s="8"/>
      <c r="K80" s="8"/>
      <c r="L80" s="8"/>
      <c r="M80" s="8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</row>
    <row r="81" spans="1:29" ht="20.25" customHeight="1">
      <c r="A81" s="389" t="s">
        <v>321</v>
      </c>
      <c r="B81" s="390"/>
      <c r="C81" s="390"/>
      <c r="D81" s="210"/>
      <c r="E81" s="391"/>
      <c r="F81" s="375"/>
      <c r="G81" s="8"/>
      <c r="H81" s="8"/>
      <c r="I81" s="8"/>
      <c r="J81" s="8"/>
      <c r="K81" s="392"/>
      <c r="L81" s="392"/>
      <c r="M81" s="392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</row>
    <row r="82" spans="1:29" ht="20.25" customHeight="1">
      <c r="A82" s="393">
        <v>43556</v>
      </c>
      <c r="B82" s="394"/>
      <c r="C82" s="191" t="s">
        <v>150</v>
      </c>
      <c r="D82" s="395">
        <v>75</v>
      </c>
      <c r="E82" s="391"/>
      <c r="F82" s="375"/>
      <c r="G82" s="8"/>
      <c r="H82" s="8"/>
      <c r="I82" s="8"/>
      <c r="J82" s="8"/>
      <c r="K82" s="392"/>
      <c r="L82" s="392"/>
      <c r="M82" s="392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62">
        <f>$D82</f>
        <v>75</v>
      </c>
      <c r="Y82" s="357"/>
      <c r="Z82" s="357"/>
      <c r="AA82" s="357"/>
      <c r="AB82" s="357"/>
      <c r="AC82" s="357"/>
    </row>
    <row r="83" spans="1:29" ht="20.25" customHeight="1">
      <c r="A83" s="393">
        <v>43556</v>
      </c>
      <c r="B83" s="394"/>
      <c r="C83" s="191" t="s">
        <v>322</v>
      </c>
      <c r="D83" s="395">
        <v>43.12</v>
      </c>
      <c r="E83" s="391"/>
      <c r="F83" s="375"/>
      <c r="G83" s="8"/>
      <c r="H83" s="8"/>
      <c r="I83" s="8"/>
      <c r="J83" s="8"/>
      <c r="K83" s="392"/>
      <c r="L83" s="392"/>
      <c r="M83" s="392"/>
      <c r="N83" s="357"/>
      <c r="O83" s="357"/>
      <c r="P83" s="357"/>
      <c r="Q83" s="357"/>
      <c r="R83" s="357"/>
      <c r="S83" s="357"/>
      <c r="T83" s="357"/>
      <c r="U83" s="357"/>
      <c r="V83" s="357"/>
      <c r="W83" s="362">
        <f>$D83</f>
        <v>43.12</v>
      </c>
      <c r="X83" s="357"/>
      <c r="Y83" s="357"/>
      <c r="Z83" s="357"/>
      <c r="AA83" s="357"/>
      <c r="AB83" s="357"/>
      <c r="AC83" s="357"/>
    </row>
    <row r="84" spans="1:29" ht="20.25" customHeight="1">
      <c r="A84" s="393">
        <v>43556</v>
      </c>
      <c r="B84" s="394"/>
      <c r="C84" s="191" t="s">
        <v>323</v>
      </c>
      <c r="D84" s="395">
        <v>162.5</v>
      </c>
      <c r="E84" s="391"/>
      <c r="F84" s="375"/>
      <c r="G84" s="8"/>
      <c r="H84" s="8"/>
      <c r="I84" s="8"/>
      <c r="J84" s="8"/>
      <c r="K84" s="396">
        <f>$D84</f>
        <v>162.5</v>
      </c>
      <c r="L84" s="392"/>
      <c r="M84" s="392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</row>
    <row r="85" spans="1:29" ht="20.25" customHeight="1">
      <c r="A85" s="645" t="s">
        <v>324</v>
      </c>
      <c r="B85" s="638"/>
      <c r="C85" s="386" t="s">
        <v>325</v>
      </c>
      <c r="D85" s="387">
        <v>177.69</v>
      </c>
      <c r="E85" s="10"/>
      <c r="F85" s="375"/>
      <c r="G85" s="376">
        <v>79.88</v>
      </c>
      <c r="H85" s="376">
        <v>0.98</v>
      </c>
      <c r="I85" s="8"/>
      <c r="J85" s="8"/>
      <c r="K85" s="8"/>
      <c r="L85" s="8"/>
      <c r="M85" s="8"/>
      <c r="N85" s="357"/>
      <c r="O85" s="357"/>
      <c r="P85" s="357"/>
      <c r="Q85" s="357"/>
      <c r="R85" s="357"/>
      <c r="S85" s="362">
        <v>96.83</v>
      </c>
      <c r="T85" s="357"/>
      <c r="U85" s="357"/>
      <c r="V85" s="357"/>
      <c r="W85" s="357"/>
      <c r="X85" s="357"/>
      <c r="Y85" s="357"/>
      <c r="Z85" s="357"/>
      <c r="AA85" s="357"/>
      <c r="AB85" s="357"/>
      <c r="AC85" s="357"/>
    </row>
    <row r="86" spans="1:29" ht="32.25" customHeight="1">
      <c r="A86" s="385"/>
      <c r="B86" s="354"/>
      <c r="C86" s="386" t="s">
        <v>326</v>
      </c>
      <c r="D86" s="192">
        <v>-397</v>
      </c>
      <c r="E86" s="10"/>
      <c r="F86" s="375"/>
      <c r="G86" s="8"/>
      <c r="H86" s="8"/>
      <c r="I86" s="8"/>
      <c r="J86" s="8"/>
      <c r="K86" s="396">
        <v>-162.5</v>
      </c>
      <c r="L86" s="8"/>
      <c r="M86" s="8"/>
      <c r="N86" s="357"/>
      <c r="O86" s="357"/>
      <c r="P86" s="357"/>
      <c r="Q86" s="357"/>
      <c r="R86" s="357"/>
      <c r="S86" s="357"/>
      <c r="T86" s="357"/>
      <c r="U86" s="362">
        <v>-100</v>
      </c>
      <c r="V86" s="362">
        <v>-34.5</v>
      </c>
      <c r="W86" s="362">
        <v>-100</v>
      </c>
      <c r="X86" s="357"/>
      <c r="Y86" s="357"/>
      <c r="Z86" s="357"/>
      <c r="AA86" s="357"/>
      <c r="AB86" s="357"/>
      <c r="AC86" s="357"/>
    </row>
    <row r="87" spans="1:29" ht="20.25" customHeight="1">
      <c r="A87" s="385"/>
      <c r="B87" s="354"/>
      <c r="C87" s="383" t="s">
        <v>294</v>
      </c>
      <c r="D87" s="387">
        <f>SUM($D80:$D86)</f>
        <v>20581.719999999998</v>
      </c>
      <c r="E87" s="10"/>
      <c r="F87" s="377">
        <f t="shared" ref="F87:AA87" si="2">SUM(F79:F86)</f>
        <v>8000</v>
      </c>
      <c r="G87" s="377">
        <f t="shared" si="2"/>
        <v>114.67999999999999</v>
      </c>
      <c r="H87" s="377">
        <f t="shared" si="2"/>
        <v>0.98</v>
      </c>
      <c r="I87" s="377">
        <f t="shared" si="2"/>
        <v>565.16</v>
      </c>
      <c r="J87" s="377">
        <f t="shared" si="2"/>
        <v>66.5</v>
      </c>
      <c r="K87" s="377">
        <f t="shared" si="2"/>
        <v>28.97</v>
      </c>
      <c r="L87" s="377">
        <f t="shared" si="2"/>
        <v>358</v>
      </c>
      <c r="M87" s="377">
        <f t="shared" si="2"/>
        <v>1303</v>
      </c>
      <c r="N87" s="377">
        <f t="shared" si="2"/>
        <v>24.3</v>
      </c>
      <c r="O87" s="377">
        <f t="shared" si="2"/>
        <v>982.56</v>
      </c>
      <c r="P87" s="377">
        <f t="shared" si="2"/>
        <v>188.92000000000002</v>
      </c>
      <c r="Q87" s="377">
        <f t="shared" si="2"/>
        <v>644.67999999999995</v>
      </c>
      <c r="R87" s="377">
        <f t="shared" si="2"/>
        <v>80.56</v>
      </c>
      <c r="S87" s="377">
        <f t="shared" si="2"/>
        <v>2624.83</v>
      </c>
      <c r="T87" s="377">
        <f t="shared" si="2"/>
        <v>896</v>
      </c>
      <c r="U87" s="388">
        <f t="shared" si="2"/>
        <v>158.14999999999998</v>
      </c>
      <c r="V87" s="377">
        <f t="shared" si="2"/>
        <v>1306.5</v>
      </c>
      <c r="W87" s="377">
        <f t="shared" si="2"/>
        <v>222.04999999999995</v>
      </c>
      <c r="X87" s="377">
        <f t="shared" si="2"/>
        <v>1125</v>
      </c>
      <c r="Y87" s="377">
        <f t="shared" si="2"/>
        <v>1200</v>
      </c>
      <c r="Z87" s="377">
        <f t="shared" si="2"/>
        <v>385.08</v>
      </c>
      <c r="AA87" s="377">
        <f t="shared" si="2"/>
        <v>305.8</v>
      </c>
      <c r="AB87" s="357"/>
      <c r="AC87" s="357"/>
    </row>
    <row r="88" spans="1:29" ht="20.25" customHeight="1">
      <c r="A88" s="385"/>
      <c r="B88" s="354"/>
      <c r="C88" s="354"/>
      <c r="D88" s="387">
        <f>SUM(F87:AA87)</f>
        <v>20581.719999999998</v>
      </c>
      <c r="E88" s="10"/>
      <c r="F88" s="375"/>
      <c r="G88" s="8"/>
      <c r="H88" s="8"/>
      <c r="I88" s="8"/>
      <c r="J88" s="8"/>
      <c r="K88" s="8"/>
      <c r="L88" s="8"/>
      <c r="M88" s="8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</row>
  </sheetData>
  <mergeCells count="12">
    <mergeCell ref="AB51:AC51"/>
    <mergeCell ref="AB17:AC17"/>
    <mergeCell ref="AB34:AC34"/>
    <mergeCell ref="A65:C65"/>
    <mergeCell ref="A85:B85"/>
    <mergeCell ref="A1:AC1"/>
    <mergeCell ref="A4:C4"/>
    <mergeCell ref="A8:C8"/>
    <mergeCell ref="AB21:AC21"/>
    <mergeCell ref="AB22:AC22"/>
    <mergeCell ref="AB18:AC18"/>
    <mergeCell ref="AB13:AC13"/>
  </mergeCells>
  <pageMargins left="0.5" right="0.25" top="0.25" bottom="0.25" header="0.25" footer="0.25"/>
  <pageSetup scale="53" orientation="landscape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showGridLines="0" workbookViewId="0">
      <selection sqref="A1:F1"/>
    </sheetView>
  </sheetViews>
  <sheetFormatPr baseColWidth="10" defaultColWidth="16.33203125" defaultRowHeight="20" customHeight="1"/>
  <cols>
    <col min="1" max="1" width="21" style="1" customWidth="1"/>
    <col min="2" max="2" width="9.33203125" style="1" customWidth="1"/>
    <col min="3" max="3" width="28.83203125" style="1" customWidth="1"/>
    <col min="4" max="7" width="16.33203125" style="1" customWidth="1"/>
    <col min="8" max="16384" width="16.33203125" style="1"/>
  </cols>
  <sheetData>
    <row r="1" spans="1:6" ht="27.75" customHeight="1">
      <c r="A1" s="646" t="s">
        <v>88</v>
      </c>
      <c r="B1" s="647"/>
      <c r="C1" s="647"/>
      <c r="D1" s="647"/>
      <c r="E1" s="647"/>
      <c r="F1" s="648"/>
    </row>
    <row r="2" spans="1:6" ht="20.25" customHeight="1">
      <c r="A2" s="397" t="s">
        <v>327</v>
      </c>
      <c r="B2" s="398"/>
      <c r="C2" s="399"/>
      <c r="D2" s="398"/>
      <c r="E2" s="398"/>
      <c r="F2" s="398"/>
    </row>
    <row r="3" spans="1:6" ht="20.25" customHeight="1">
      <c r="A3" s="400"/>
      <c r="B3" s="401"/>
      <c r="C3" s="402"/>
      <c r="D3" s="403"/>
      <c r="E3" s="403"/>
      <c r="F3" s="403"/>
    </row>
    <row r="4" spans="1:6" ht="20.25" customHeight="1">
      <c r="A4" s="404" t="s">
        <v>328</v>
      </c>
      <c r="B4" s="205" t="s">
        <v>132</v>
      </c>
      <c r="C4" s="405">
        <v>515003</v>
      </c>
      <c r="D4" s="406">
        <v>312</v>
      </c>
      <c r="E4" s="407" t="s">
        <v>18</v>
      </c>
      <c r="F4" s="408">
        <v>2321.69</v>
      </c>
    </row>
    <row r="5" spans="1:6" ht="20.25" customHeight="1">
      <c r="A5" s="404" t="s">
        <v>329</v>
      </c>
      <c r="B5" s="205" t="s">
        <v>124</v>
      </c>
      <c r="C5" s="409" t="s">
        <v>232</v>
      </c>
      <c r="D5" s="407" t="s">
        <v>18</v>
      </c>
      <c r="E5" s="406">
        <v>7.1</v>
      </c>
      <c r="F5" s="408">
        <v>2009.69</v>
      </c>
    </row>
    <row r="6" spans="1:6" ht="20.25" customHeight="1">
      <c r="A6" s="404" t="s">
        <v>329</v>
      </c>
      <c r="B6" s="205" t="s">
        <v>124</v>
      </c>
      <c r="C6" s="409" t="s">
        <v>231</v>
      </c>
      <c r="D6" s="407" t="s">
        <v>18</v>
      </c>
      <c r="E6" s="406">
        <v>941.5</v>
      </c>
      <c r="F6" s="408">
        <v>2016.79</v>
      </c>
    </row>
    <row r="7" spans="1:6" ht="20.25" customHeight="1">
      <c r="A7" s="404" t="s">
        <v>329</v>
      </c>
      <c r="B7" s="205" t="s">
        <v>124</v>
      </c>
      <c r="C7" s="409" t="s">
        <v>134</v>
      </c>
      <c r="D7" s="410">
        <v>1700</v>
      </c>
      <c r="E7" s="407" t="s">
        <v>18</v>
      </c>
      <c r="F7" s="408">
        <v>2958.29</v>
      </c>
    </row>
    <row r="8" spans="1:6" ht="20.25" customHeight="1">
      <c r="A8" s="404" t="s">
        <v>330</v>
      </c>
      <c r="B8" s="205" t="s">
        <v>124</v>
      </c>
      <c r="C8" s="409" t="s">
        <v>331</v>
      </c>
      <c r="D8" s="407" t="s">
        <v>18</v>
      </c>
      <c r="E8" s="406">
        <v>802.8</v>
      </c>
      <c r="F8" s="408">
        <v>1258.29</v>
      </c>
    </row>
    <row r="9" spans="1:6" ht="20.25" customHeight="1">
      <c r="A9" s="404" t="s">
        <v>332</v>
      </c>
      <c r="B9" s="205" t="s">
        <v>149</v>
      </c>
      <c r="C9" s="409" t="s">
        <v>315</v>
      </c>
      <c r="D9" s="407" t="s">
        <v>18</v>
      </c>
      <c r="E9" s="406">
        <v>75</v>
      </c>
      <c r="F9" s="408">
        <v>2061.09</v>
      </c>
    </row>
    <row r="10" spans="1:6" ht="20.25" customHeight="1">
      <c r="A10" s="404" t="s">
        <v>332</v>
      </c>
      <c r="B10" s="205" t="s">
        <v>124</v>
      </c>
      <c r="C10" s="409" t="s">
        <v>304</v>
      </c>
      <c r="D10" s="407" t="s">
        <v>18</v>
      </c>
      <c r="E10" s="410">
        <v>1530</v>
      </c>
      <c r="F10" s="408">
        <v>2136.09</v>
      </c>
    </row>
    <row r="11" spans="1:6" ht="20.25" customHeight="1">
      <c r="A11" s="404" t="s">
        <v>333</v>
      </c>
      <c r="B11" s="10"/>
      <c r="C11" s="411"/>
      <c r="D11" s="8"/>
      <c r="E11" s="8"/>
      <c r="F11" s="8"/>
    </row>
    <row r="12" spans="1:6" ht="20.25" customHeight="1">
      <c r="A12" s="404" t="s">
        <v>334</v>
      </c>
      <c r="B12" s="205" t="s">
        <v>109</v>
      </c>
      <c r="C12" s="409" t="s">
        <v>335</v>
      </c>
      <c r="D12" s="412">
        <v>0.52</v>
      </c>
      <c r="E12" s="407" t="s">
        <v>18</v>
      </c>
      <c r="F12" s="408">
        <v>12630.56</v>
      </c>
    </row>
    <row r="13" spans="1:6" ht="20.25" customHeight="1">
      <c r="A13" s="404" t="s">
        <v>329</v>
      </c>
      <c r="B13" s="205" t="s">
        <v>124</v>
      </c>
      <c r="C13" s="409" t="s">
        <v>142</v>
      </c>
      <c r="D13" s="407" t="s">
        <v>18</v>
      </c>
      <c r="E13" s="410">
        <v>1700</v>
      </c>
      <c r="F13" s="408">
        <v>12630.04</v>
      </c>
    </row>
    <row r="14" spans="1:6" ht="20.25" customHeight="1">
      <c r="A14" s="404" t="s">
        <v>336</v>
      </c>
      <c r="B14" s="205" t="s">
        <v>109</v>
      </c>
      <c r="C14" s="409" t="s">
        <v>197</v>
      </c>
      <c r="D14" s="412">
        <v>0.55000000000000004</v>
      </c>
      <c r="E14" s="407" t="s">
        <v>18</v>
      </c>
      <c r="F14" s="408">
        <v>14330.04</v>
      </c>
    </row>
    <row r="15" spans="1:6" ht="20.25" customHeight="1">
      <c r="A15" s="404" t="s">
        <v>337</v>
      </c>
      <c r="B15" s="205" t="s">
        <v>124</v>
      </c>
      <c r="C15" s="409" t="s">
        <v>305</v>
      </c>
      <c r="D15" s="407" t="s">
        <v>18</v>
      </c>
      <c r="E15" s="412">
        <v>41.95</v>
      </c>
      <c r="F15" s="408">
        <v>14329.49</v>
      </c>
    </row>
    <row r="16" spans="1:6" ht="20.25" customHeight="1">
      <c r="A16" s="404" t="s">
        <v>338</v>
      </c>
      <c r="B16" s="205" t="s">
        <v>109</v>
      </c>
      <c r="C16" s="409" t="s">
        <v>198</v>
      </c>
      <c r="D16" s="412">
        <v>0.65</v>
      </c>
      <c r="E16" s="407" t="s">
        <v>18</v>
      </c>
      <c r="F16" s="408">
        <v>14371.44</v>
      </c>
    </row>
    <row r="17" spans="1:6" ht="20.25" customHeight="1">
      <c r="A17" s="404" t="s">
        <v>339</v>
      </c>
      <c r="B17" s="205" t="s">
        <v>109</v>
      </c>
      <c r="C17" s="409" t="s">
        <v>340</v>
      </c>
      <c r="D17" s="412">
        <v>0.56999999999999995</v>
      </c>
      <c r="E17" s="407" t="s">
        <v>18</v>
      </c>
      <c r="F17" s="408">
        <v>14370.79</v>
      </c>
    </row>
    <row r="18" spans="1:6" ht="20.25" customHeight="1">
      <c r="A18" s="404" t="s">
        <v>341</v>
      </c>
      <c r="B18" s="205" t="s">
        <v>109</v>
      </c>
      <c r="C18" s="409" t="s">
        <v>120</v>
      </c>
      <c r="D18" s="412">
        <v>0.52</v>
      </c>
      <c r="E18" s="407" t="s">
        <v>18</v>
      </c>
      <c r="F18" s="408">
        <v>14370.22</v>
      </c>
    </row>
    <row r="19" spans="1:6" ht="20.25" customHeight="1">
      <c r="A19" s="404" t="s">
        <v>342</v>
      </c>
      <c r="B19" s="205" t="s">
        <v>124</v>
      </c>
      <c r="C19" s="409" t="s">
        <v>142</v>
      </c>
      <c r="D19" s="407" t="s">
        <v>18</v>
      </c>
      <c r="E19" s="410">
        <v>1100</v>
      </c>
      <c r="F19" s="410">
        <v>14369.7</v>
      </c>
    </row>
    <row r="20" spans="1:6" ht="20.25" customHeight="1">
      <c r="A20" s="404" t="s">
        <v>343</v>
      </c>
      <c r="B20" s="205" t="s">
        <v>109</v>
      </c>
      <c r="C20" s="409" t="s">
        <v>200</v>
      </c>
      <c r="D20" s="412">
        <v>0.12</v>
      </c>
      <c r="E20" s="407" t="s">
        <v>18</v>
      </c>
      <c r="F20" s="410">
        <v>15469.7</v>
      </c>
    </row>
    <row r="21" spans="1:6" ht="20.25" customHeight="1">
      <c r="A21" s="404" t="s">
        <v>344</v>
      </c>
      <c r="B21" s="205" t="s">
        <v>124</v>
      </c>
      <c r="C21" s="409" t="s">
        <v>202</v>
      </c>
      <c r="D21" s="410">
        <v>4500</v>
      </c>
      <c r="E21" s="407" t="s">
        <v>18</v>
      </c>
      <c r="F21" s="408">
        <v>15469.58</v>
      </c>
    </row>
    <row r="22" spans="1:6" ht="20.25" customHeight="1">
      <c r="A22" s="404" t="s">
        <v>345</v>
      </c>
      <c r="B22" s="205" t="s">
        <v>109</v>
      </c>
      <c r="C22" s="409" t="s">
        <v>346</v>
      </c>
      <c r="D22" s="412">
        <v>0.09</v>
      </c>
      <c r="E22" s="407" t="s">
        <v>18</v>
      </c>
      <c r="F22" s="408">
        <v>10969.58</v>
      </c>
    </row>
    <row r="23" spans="1:6" ht="20.25" customHeight="1">
      <c r="A23" s="404" t="s">
        <v>347</v>
      </c>
      <c r="B23" s="205" t="s">
        <v>109</v>
      </c>
      <c r="C23" s="409" t="s">
        <v>267</v>
      </c>
      <c r="D23" s="412">
        <v>0.09</v>
      </c>
      <c r="E23" s="407" t="s">
        <v>18</v>
      </c>
      <c r="F23" s="408">
        <v>10969.49</v>
      </c>
    </row>
    <row r="24" spans="1:6" ht="20.25" customHeight="1">
      <c r="A24" s="404" t="s">
        <v>348</v>
      </c>
      <c r="B24" s="205" t="s">
        <v>109</v>
      </c>
      <c r="C24" s="409" t="s">
        <v>112</v>
      </c>
      <c r="D24" s="412">
        <v>0.09</v>
      </c>
      <c r="E24" s="407" t="s">
        <v>18</v>
      </c>
      <c r="F24" s="410">
        <v>10969.4</v>
      </c>
    </row>
    <row r="25" spans="1:6" ht="20.25" customHeight="1">
      <c r="A25" s="404" t="s">
        <v>349</v>
      </c>
      <c r="B25" s="205" t="s">
        <v>109</v>
      </c>
      <c r="C25" s="409" t="s">
        <v>113</v>
      </c>
      <c r="D25" s="412">
        <v>0.09</v>
      </c>
      <c r="E25" s="407" t="s">
        <v>18</v>
      </c>
      <c r="F25" s="408">
        <v>10969.31</v>
      </c>
    </row>
    <row r="26" spans="1:6" ht="20.25" customHeight="1">
      <c r="A26" s="404" t="s">
        <v>350</v>
      </c>
      <c r="B26" s="205" t="s">
        <v>109</v>
      </c>
      <c r="C26" s="409" t="s">
        <v>204</v>
      </c>
      <c r="D26" s="412">
        <v>0.09</v>
      </c>
      <c r="E26" s="407" t="s">
        <v>18</v>
      </c>
      <c r="F26" s="408">
        <v>10969.22</v>
      </c>
    </row>
    <row r="27" spans="1:6" ht="20.25" customHeight="1">
      <c r="A27" s="404" t="s">
        <v>351</v>
      </c>
      <c r="B27" s="205" t="s">
        <v>124</v>
      </c>
      <c r="C27" s="409" t="s">
        <v>202</v>
      </c>
      <c r="D27" s="410">
        <v>2000</v>
      </c>
      <c r="E27" s="407" t="s">
        <v>18</v>
      </c>
      <c r="F27" s="408">
        <v>10969.13</v>
      </c>
    </row>
    <row r="28" spans="1:6" ht="20.25" customHeight="1">
      <c r="A28" s="404" t="s">
        <v>351</v>
      </c>
      <c r="B28" s="205" t="s">
        <v>124</v>
      </c>
      <c r="C28" s="409" t="s">
        <v>202</v>
      </c>
      <c r="D28" s="410">
        <v>1000</v>
      </c>
      <c r="E28" s="407" t="s">
        <v>18</v>
      </c>
      <c r="F28" s="408">
        <v>8969.1299999999992</v>
      </c>
    </row>
    <row r="29" spans="1:6" ht="20.25" customHeight="1">
      <c r="A29" s="404" t="s">
        <v>352</v>
      </c>
      <c r="B29" s="205" t="s">
        <v>109</v>
      </c>
      <c r="C29" s="409" t="s">
        <v>353</v>
      </c>
      <c r="D29" s="412">
        <v>0.06</v>
      </c>
      <c r="E29" s="407" t="s">
        <v>18</v>
      </c>
      <c r="F29" s="408">
        <v>7969.13</v>
      </c>
    </row>
    <row r="30" spans="1:6" ht="25.25" customHeight="1">
      <c r="A30" s="413"/>
      <c r="B30" s="10"/>
      <c r="C30" s="411"/>
      <c r="D30" s="410">
        <f>SUM(D12:D29)</f>
        <v>7503.4400000000014</v>
      </c>
      <c r="E30" s="410">
        <f>SUM(E12:E29)</f>
        <v>2841.95</v>
      </c>
      <c r="F30" s="8"/>
    </row>
    <row r="31" spans="1:6" ht="20.25" customHeight="1">
      <c r="A31" s="413"/>
      <c r="B31" s="10"/>
      <c r="C31" s="411"/>
      <c r="D31" s="8"/>
      <c r="E31" s="8"/>
      <c r="F31" s="8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23"/>
  <sheetViews>
    <sheetView showGridLines="0" workbookViewId="0">
      <selection sqref="A1:F1"/>
    </sheetView>
  </sheetViews>
  <sheetFormatPr baseColWidth="10" defaultColWidth="16.33203125" defaultRowHeight="20" customHeight="1"/>
  <cols>
    <col min="1" max="1" width="16.33203125" style="1" customWidth="1"/>
    <col min="2" max="2" width="10.33203125" style="1" customWidth="1"/>
    <col min="3" max="3" width="31" style="1" customWidth="1"/>
    <col min="4" max="7" width="16.33203125" style="1" customWidth="1"/>
    <col min="8" max="16384" width="16.33203125" style="1"/>
  </cols>
  <sheetData>
    <row r="1" spans="1:6" ht="27.75" customHeight="1">
      <c r="A1" s="646" t="s">
        <v>88</v>
      </c>
      <c r="B1" s="647"/>
      <c r="C1" s="647"/>
      <c r="D1" s="647"/>
      <c r="E1" s="647"/>
      <c r="F1" s="648"/>
    </row>
    <row r="2" spans="1:6" ht="20.25" customHeight="1">
      <c r="A2" s="414" t="s">
        <v>327</v>
      </c>
      <c r="B2" s="398"/>
      <c r="C2" s="399"/>
      <c r="D2" s="398"/>
      <c r="E2" s="398"/>
      <c r="F2" s="398"/>
    </row>
    <row r="3" spans="1:6" ht="20.25" customHeight="1">
      <c r="A3" s="415">
        <v>43549</v>
      </c>
      <c r="B3" s="416" t="s">
        <v>122</v>
      </c>
      <c r="C3" s="417" t="s">
        <v>123</v>
      </c>
      <c r="D3" s="418">
        <v>216.8</v>
      </c>
      <c r="E3" s="419" t="s">
        <v>18</v>
      </c>
      <c r="F3" s="420">
        <v>1704.77</v>
      </c>
    </row>
    <row r="4" spans="1:6" ht="20.25" customHeight="1">
      <c r="A4" s="421">
        <v>43549</v>
      </c>
      <c r="B4" s="205" t="s">
        <v>122</v>
      </c>
      <c r="C4" s="409" t="s">
        <v>123</v>
      </c>
      <c r="D4" s="406">
        <v>17</v>
      </c>
      <c r="E4" s="407" t="s">
        <v>18</v>
      </c>
      <c r="F4" s="408">
        <v>1487.97</v>
      </c>
    </row>
    <row r="5" spans="1:6" ht="20.25" customHeight="1">
      <c r="A5" s="421">
        <v>43545</v>
      </c>
      <c r="B5" s="205" t="s">
        <v>122</v>
      </c>
      <c r="C5" s="409" t="s">
        <v>128</v>
      </c>
      <c r="D5" s="406">
        <v>500</v>
      </c>
      <c r="E5" s="407" t="s">
        <v>18</v>
      </c>
      <c r="F5" s="408">
        <v>1470.97</v>
      </c>
    </row>
    <row r="6" spans="1:6" ht="20.25" customHeight="1">
      <c r="A6" s="421">
        <v>43544</v>
      </c>
      <c r="B6" s="205" t="s">
        <v>124</v>
      </c>
      <c r="C6" s="409" t="s">
        <v>231</v>
      </c>
      <c r="D6" s="407" t="s">
        <v>18</v>
      </c>
      <c r="E6" s="410">
        <v>1100</v>
      </c>
      <c r="F6" s="412">
        <v>970.97</v>
      </c>
    </row>
    <row r="7" spans="1:6" ht="20.25" customHeight="1">
      <c r="A7" s="421">
        <v>43539</v>
      </c>
      <c r="B7" s="205" t="s">
        <v>124</v>
      </c>
      <c r="C7" s="409" t="s">
        <v>304</v>
      </c>
      <c r="D7" s="407" t="s">
        <v>18</v>
      </c>
      <c r="E7" s="410">
        <v>1428</v>
      </c>
      <c r="F7" s="408">
        <v>2070.9699999999998</v>
      </c>
    </row>
    <row r="8" spans="1:6" ht="20.25" customHeight="1">
      <c r="A8" s="421">
        <v>43539</v>
      </c>
      <c r="B8" s="205" t="s">
        <v>124</v>
      </c>
      <c r="C8" s="409" t="s">
        <v>134</v>
      </c>
      <c r="D8" s="410">
        <v>2000</v>
      </c>
      <c r="E8" s="407" t="s">
        <v>18</v>
      </c>
      <c r="F8" s="408">
        <v>3498.97</v>
      </c>
    </row>
    <row r="9" spans="1:6" ht="20.25" customHeight="1">
      <c r="A9" s="421">
        <v>43537</v>
      </c>
      <c r="B9" s="205" t="s">
        <v>124</v>
      </c>
      <c r="C9" s="409" t="s">
        <v>232</v>
      </c>
      <c r="D9" s="407" t="s">
        <v>18</v>
      </c>
      <c r="E9" s="406">
        <v>40</v>
      </c>
      <c r="F9" s="408">
        <v>1498.97</v>
      </c>
    </row>
    <row r="10" spans="1:6" ht="20.25" customHeight="1">
      <c r="A10" s="421">
        <v>43537</v>
      </c>
      <c r="B10" s="205" t="s">
        <v>124</v>
      </c>
      <c r="C10" s="409" t="s">
        <v>147</v>
      </c>
      <c r="D10" s="407" t="s">
        <v>18</v>
      </c>
      <c r="E10" s="406">
        <v>666</v>
      </c>
      <c r="F10" s="408">
        <v>1538.97</v>
      </c>
    </row>
    <row r="11" spans="1:6" ht="20.25" customHeight="1">
      <c r="A11" s="421">
        <v>43536</v>
      </c>
      <c r="B11" s="205" t="s">
        <v>122</v>
      </c>
      <c r="C11" s="409" t="s">
        <v>205</v>
      </c>
      <c r="D11" s="406">
        <v>27.5</v>
      </c>
      <c r="E11" s="407" t="s">
        <v>18</v>
      </c>
      <c r="F11" s="408">
        <v>2204.9699999999998</v>
      </c>
    </row>
    <row r="12" spans="1:6" ht="20.25" customHeight="1">
      <c r="A12" s="421">
        <v>43525</v>
      </c>
      <c r="B12" s="205" t="s">
        <v>149</v>
      </c>
      <c r="C12" s="409" t="s">
        <v>150</v>
      </c>
      <c r="D12" s="407" t="s">
        <v>18</v>
      </c>
      <c r="E12" s="406">
        <v>75</v>
      </c>
      <c r="F12" s="408">
        <v>2177.4699999999998</v>
      </c>
    </row>
    <row r="13" spans="1:6" ht="20.25" customHeight="1">
      <c r="A13" s="421">
        <v>43524</v>
      </c>
      <c r="B13" s="205" t="s">
        <v>124</v>
      </c>
      <c r="C13" s="409" t="s">
        <v>236</v>
      </c>
      <c r="D13" s="407" t="s">
        <v>18</v>
      </c>
      <c r="E13" s="406">
        <v>448</v>
      </c>
      <c r="F13" s="408">
        <v>2252.4699999999998</v>
      </c>
    </row>
    <row r="14" spans="1:6" ht="20.25" customHeight="1">
      <c r="A14" s="421">
        <v>43522</v>
      </c>
      <c r="B14" s="205" t="s">
        <v>124</v>
      </c>
      <c r="C14" s="409" t="s">
        <v>236</v>
      </c>
      <c r="D14" s="407" t="s">
        <v>18</v>
      </c>
      <c r="E14" s="406">
        <v>448</v>
      </c>
      <c r="F14" s="408">
        <v>2700.47</v>
      </c>
    </row>
    <row r="15" spans="1:6" ht="20.25" customHeight="1">
      <c r="A15" s="421">
        <v>43517</v>
      </c>
      <c r="B15" s="205" t="s">
        <v>132</v>
      </c>
      <c r="C15" s="405">
        <v>515003</v>
      </c>
      <c r="D15" s="406">
        <v>22.5</v>
      </c>
      <c r="E15" s="407" t="s">
        <v>18</v>
      </c>
      <c r="F15" s="408">
        <v>3148.47</v>
      </c>
    </row>
    <row r="16" spans="1:6" ht="20.25" customHeight="1">
      <c r="A16" s="421">
        <v>43500</v>
      </c>
      <c r="B16" s="205" t="s">
        <v>124</v>
      </c>
      <c r="C16" s="409" t="s">
        <v>305</v>
      </c>
      <c r="D16" s="407" t="s">
        <v>18</v>
      </c>
      <c r="E16" s="412">
        <v>40.56</v>
      </c>
      <c r="F16" s="408">
        <v>3125.97</v>
      </c>
    </row>
    <row r="17" spans="1:6" ht="20.25" customHeight="1">
      <c r="A17" s="421">
        <v>43500</v>
      </c>
      <c r="B17" s="205" t="s">
        <v>124</v>
      </c>
      <c r="C17" s="409" t="s">
        <v>181</v>
      </c>
      <c r="D17" s="407" t="s">
        <v>18</v>
      </c>
      <c r="E17" s="406">
        <v>103</v>
      </c>
      <c r="F17" s="408">
        <v>3166.53</v>
      </c>
    </row>
    <row r="18" spans="1:6" ht="20.25" customHeight="1">
      <c r="A18" s="421">
        <v>43500</v>
      </c>
      <c r="B18" s="205" t="s">
        <v>122</v>
      </c>
      <c r="C18" s="409" t="s">
        <v>123</v>
      </c>
      <c r="D18" s="406">
        <v>320</v>
      </c>
      <c r="E18" s="407" t="s">
        <v>18</v>
      </c>
      <c r="F18" s="408">
        <v>3269.53</v>
      </c>
    </row>
    <row r="19" spans="1:6" ht="20.25" customHeight="1">
      <c r="A19" s="421">
        <v>43497</v>
      </c>
      <c r="B19" s="205" t="s">
        <v>149</v>
      </c>
      <c r="C19" s="409" t="s">
        <v>150</v>
      </c>
      <c r="D19" s="407" t="s">
        <v>18</v>
      </c>
      <c r="E19" s="406">
        <v>75</v>
      </c>
      <c r="F19" s="408">
        <v>2949.53</v>
      </c>
    </row>
    <row r="20" spans="1:6" ht="20.25" customHeight="1">
      <c r="A20" s="421">
        <v>43474</v>
      </c>
      <c r="B20" s="205" t="s">
        <v>124</v>
      </c>
      <c r="C20" s="409" t="s">
        <v>147</v>
      </c>
      <c r="D20" s="407" t="s">
        <v>18</v>
      </c>
      <c r="E20" s="406">
        <v>29.7</v>
      </c>
      <c r="F20" s="408">
        <v>3024.53</v>
      </c>
    </row>
    <row r="21" spans="1:6" ht="20.25" customHeight="1">
      <c r="A21" s="421">
        <v>43468</v>
      </c>
      <c r="B21" s="205" t="s">
        <v>124</v>
      </c>
      <c r="C21" s="409" t="s">
        <v>232</v>
      </c>
      <c r="D21" s="407" t="s">
        <v>18</v>
      </c>
      <c r="E21" s="406">
        <v>40</v>
      </c>
      <c r="F21" s="408">
        <v>3054.23</v>
      </c>
    </row>
    <row r="22" spans="1:6" ht="20.25" customHeight="1">
      <c r="A22" s="421">
        <v>43468</v>
      </c>
      <c r="B22" s="205" t="s">
        <v>124</v>
      </c>
      <c r="C22" s="409" t="s">
        <v>232</v>
      </c>
      <c r="D22" s="407" t="s">
        <v>18</v>
      </c>
      <c r="E22" s="406">
        <v>424</v>
      </c>
      <c r="F22" s="408">
        <v>3094.23</v>
      </c>
    </row>
    <row r="23" spans="1:6" ht="20.25" customHeight="1">
      <c r="A23" s="421">
        <v>43467</v>
      </c>
      <c r="B23" s="205" t="s">
        <v>149</v>
      </c>
      <c r="C23" s="409" t="s">
        <v>150</v>
      </c>
      <c r="D23" s="407" t="s">
        <v>18</v>
      </c>
      <c r="E23" s="406">
        <v>75</v>
      </c>
      <c r="F23" s="408">
        <v>3518.23</v>
      </c>
    </row>
    <row r="24" spans="1:6" ht="20.25" customHeight="1">
      <c r="A24" s="421">
        <v>43467</v>
      </c>
      <c r="B24" s="205" t="s">
        <v>149</v>
      </c>
      <c r="C24" s="409" t="s">
        <v>165</v>
      </c>
      <c r="D24" s="407" t="s">
        <v>18</v>
      </c>
      <c r="E24" s="406">
        <v>50</v>
      </c>
      <c r="F24" s="408">
        <v>3593.23</v>
      </c>
    </row>
    <row r="25" spans="1:6" ht="20.25" customHeight="1">
      <c r="A25" s="421">
        <v>43465</v>
      </c>
      <c r="B25" s="205" t="s">
        <v>122</v>
      </c>
      <c r="C25" s="409" t="s">
        <v>123</v>
      </c>
      <c r="D25" s="406">
        <v>51.2</v>
      </c>
      <c r="E25" s="407" t="s">
        <v>18</v>
      </c>
      <c r="F25" s="408">
        <v>3643.23</v>
      </c>
    </row>
    <row r="26" spans="1:6" ht="20.25" customHeight="1">
      <c r="A26" s="421">
        <v>43465</v>
      </c>
      <c r="B26" s="205" t="s">
        <v>122</v>
      </c>
      <c r="C26" s="409" t="s">
        <v>123</v>
      </c>
      <c r="D26" s="406">
        <v>75</v>
      </c>
      <c r="E26" s="407" t="s">
        <v>18</v>
      </c>
      <c r="F26" s="408">
        <v>3592.03</v>
      </c>
    </row>
    <row r="27" spans="1:6" ht="20.25" customHeight="1">
      <c r="A27" s="421">
        <v>43453</v>
      </c>
      <c r="B27" s="205" t="s">
        <v>124</v>
      </c>
      <c r="C27" s="409" t="s">
        <v>157</v>
      </c>
      <c r="D27" s="407" t="s">
        <v>18</v>
      </c>
      <c r="E27" s="412">
        <v>327.97</v>
      </c>
      <c r="F27" s="408">
        <v>3517.03</v>
      </c>
    </row>
    <row r="28" spans="1:6" ht="20.25" customHeight="1">
      <c r="A28" s="421">
        <v>43453</v>
      </c>
      <c r="B28" s="205" t="s">
        <v>122</v>
      </c>
      <c r="C28" s="409" t="s">
        <v>128</v>
      </c>
      <c r="D28" s="410">
        <v>1500</v>
      </c>
      <c r="E28" s="407" t="s">
        <v>18</v>
      </c>
      <c r="F28" s="410">
        <v>3845</v>
      </c>
    </row>
    <row r="29" spans="1:6" ht="20.25" customHeight="1">
      <c r="A29" s="421">
        <v>43452</v>
      </c>
      <c r="B29" s="205" t="s">
        <v>124</v>
      </c>
      <c r="C29" s="409" t="s">
        <v>232</v>
      </c>
      <c r="D29" s="407" t="s">
        <v>18</v>
      </c>
      <c r="E29" s="412">
        <v>101.65</v>
      </c>
      <c r="F29" s="410">
        <v>2345</v>
      </c>
    </row>
    <row r="30" spans="1:6" ht="20.25" customHeight="1">
      <c r="A30" s="421">
        <v>43452</v>
      </c>
      <c r="B30" s="205" t="s">
        <v>124</v>
      </c>
      <c r="C30" s="409" t="s">
        <v>254</v>
      </c>
      <c r="D30" s="407" t="s">
        <v>18</v>
      </c>
      <c r="E30" s="406">
        <v>21</v>
      </c>
      <c r="F30" s="408">
        <v>2446.65</v>
      </c>
    </row>
    <row r="31" spans="1:6" ht="20.25" customHeight="1">
      <c r="A31" s="421">
        <v>43452</v>
      </c>
      <c r="B31" s="205" t="s">
        <v>124</v>
      </c>
      <c r="C31" s="409" t="s">
        <v>147</v>
      </c>
      <c r="D31" s="407" t="s">
        <v>18</v>
      </c>
      <c r="E31" s="406">
        <v>699.3</v>
      </c>
      <c r="F31" s="408">
        <v>2467.65</v>
      </c>
    </row>
    <row r="32" spans="1:6" ht="20.25" customHeight="1">
      <c r="A32" s="421">
        <v>43452</v>
      </c>
      <c r="B32" s="205" t="s">
        <v>124</v>
      </c>
      <c r="C32" s="409" t="s">
        <v>238</v>
      </c>
      <c r="D32" s="407" t="s">
        <v>18</v>
      </c>
      <c r="E32" s="412">
        <v>47.27</v>
      </c>
      <c r="F32" s="408">
        <v>3166.95</v>
      </c>
    </row>
    <row r="33" spans="1:6" ht="20.25" customHeight="1">
      <c r="A33" s="421">
        <v>43452</v>
      </c>
      <c r="B33" s="205" t="s">
        <v>124</v>
      </c>
      <c r="C33" s="409" t="s">
        <v>134</v>
      </c>
      <c r="D33" s="410">
        <v>2000</v>
      </c>
      <c r="E33" s="407" t="s">
        <v>18</v>
      </c>
      <c r="F33" s="408">
        <v>3214.22</v>
      </c>
    </row>
    <row r="34" spans="1:6" ht="20.25" customHeight="1">
      <c r="A34" s="421">
        <v>43445</v>
      </c>
      <c r="B34" s="205" t="s">
        <v>122</v>
      </c>
      <c r="C34" s="409" t="s">
        <v>270</v>
      </c>
      <c r="D34" s="406">
        <v>50</v>
      </c>
      <c r="E34" s="407" t="s">
        <v>18</v>
      </c>
      <c r="F34" s="408">
        <v>1214.22</v>
      </c>
    </row>
    <row r="35" spans="1:6" ht="20.25" customHeight="1">
      <c r="A35" s="421">
        <v>43444</v>
      </c>
      <c r="B35" s="205" t="s">
        <v>122</v>
      </c>
      <c r="C35" s="409" t="s">
        <v>127</v>
      </c>
      <c r="D35" s="406">
        <v>50</v>
      </c>
      <c r="E35" s="407" t="s">
        <v>18</v>
      </c>
      <c r="F35" s="408">
        <v>1164.22</v>
      </c>
    </row>
    <row r="36" spans="1:6" ht="20.25" customHeight="1">
      <c r="A36" s="421">
        <v>43437</v>
      </c>
      <c r="B36" s="205" t="s">
        <v>149</v>
      </c>
      <c r="C36" s="409" t="s">
        <v>150</v>
      </c>
      <c r="D36" s="407" t="s">
        <v>18</v>
      </c>
      <c r="E36" s="406">
        <v>75</v>
      </c>
      <c r="F36" s="408">
        <v>1114.22</v>
      </c>
    </row>
    <row r="37" spans="1:6" ht="20.25" customHeight="1">
      <c r="A37" s="421">
        <v>43411</v>
      </c>
      <c r="B37" s="205" t="s">
        <v>122</v>
      </c>
      <c r="C37" s="409" t="s">
        <v>123</v>
      </c>
      <c r="D37" s="406">
        <v>57</v>
      </c>
      <c r="E37" s="407" t="s">
        <v>18</v>
      </c>
      <c r="F37" s="408">
        <v>1189.22</v>
      </c>
    </row>
    <row r="38" spans="1:6" ht="20.25" customHeight="1">
      <c r="A38" s="421">
        <v>43409</v>
      </c>
      <c r="B38" s="205" t="s">
        <v>122</v>
      </c>
      <c r="C38" s="409" t="s">
        <v>123</v>
      </c>
      <c r="D38" s="406">
        <v>100</v>
      </c>
      <c r="E38" s="407" t="s">
        <v>18</v>
      </c>
      <c r="F38" s="408">
        <v>1132.22</v>
      </c>
    </row>
    <row r="39" spans="1:6" ht="20.25" customHeight="1">
      <c r="A39" s="421">
        <v>43406</v>
      </c>
      <c r="B39" s="205" t="s">
        <v>122</v>
      </c>
      <c r="C39" s="409" t="s">
        <v>123</v>
      </c>
      <c r="D39" s="406">
        <v>18</v>
      </c>
      <c r="E39" s="407" t="s">
        <v>18</v>
      </c>
      <c r="F39" s="408">
        <v>1032.22</v>
      </c>
    </row>
    <row r="40" spans="1:6" ht="20.25" customHeight="1">
      <c r="A40" s="421">
        <v>43405</v>
      </c>
      <c r="B40" s="205" t="s">
        <v>149</v>
      </c>
      <c r="C40" s="409" t="s">
        <v>150</v>
      </c>
      <c r="D40" s="407" t="s">
        <v>18</v>
      </c>
      <c r="E40" s="406">
        <v>75</v>
      </c>
      <c r="F40" s="408">
        <v>1014.22</v>
      </c>
    </row>
    <row r="41" spans="1:6" ht="20.25" customHeight="1">
      <c r="A41" s="421">
        <v>43374</v>
      </c>
      <c r="B41" s="205" t="s">
        <v>149</v>
      </c>
      <c r="C41" s="409" t="s">
        <v>150</v>
      </c>
      <c r="D41" s="407" t="s">
        <v>18</v>
      </c>
      <c r="E41" s="406">
        <v>75</v>
      </c>
      <c r="F41" s="408">
        <v>1089.22</v>
      </c>
    </row>
    <row r="42" spans="1:6" ht="20.25" customHeight="1">
      <c r="A42" s="421">
        <v>43374</v>
      </c>
      <c r="B42" s="205" t="s">
        <v>149</v>
      </c>
      <c r="C42" s="409" t="s">
        <v>165</v>
      </c>
      <c r="D42" s="407" t="s">
        <v>18</v>
      </c>
      <c r="E42" s="406">
        <v>50</v>
      </c>
      <c r="F42" s="408">
        <v>1164.22</v>
      </c>
    </row>
    <row r="43" spans="1:6" ht="20.25" customHeight="1">
      <c r="A43" s="421">
        <v>43368</v>
      </c>
      <c r="B43" s="205" t="s">
        <v>122</v>
      </c>
      <c r="C43" s="409" t="s">
        <v>123</v>
      </c>
      <c r="D43" s="406">
        <v>268</v>
      </c>
      <c r="E43" s="407" t="s">
        <v>18</v>
      </c>
      <c r="F43" s="408">
        <v>1214.22</v>
      </c>
    </row>
    <row r="44" spans="1:6" ht="20.25" customHeight="1">
      <c r="A44" s="421">
        <v>43356</v>
      </c>
      <c r="B44" s="205" t="s">
        <v>124</v>
      </c>
      <c r="C44" s="409" t="s">
        <v>245</v>
      </c>
      <c r="D44" s="407" t="s">
        <v>18</v>
      </c>
      <c r="E44" s="406">
        <v>250</v>
      </c>
      <c r="F44" s="412">
        <v>946.22</v>
      </c>
    </row>
    <row r="45" spans="1:6" ht="20.25" customHeight="1">
      <c r="A45" s="421">
        <v>43355</v>
      </c>
      <c r="B45" s="205" t="s">
        <v>124</v>
      </c>
      <c r="C45" s="409" t="s">
        <v>309</v>
      </c>
      <c r="D45" s="407" t="s">
        <v>18</v>
      </c>
      <c r="E45" s="406">
        <v>202.8</v>
      </c>
      <c r="F45" s="408">
        <v>1196.22</v>
      </c>
    </row>
    <row r="46" spans="1:6" ht="20.25" customHeight="1">
      <c r="A46" s="421">
        <v>43355</v>
      </c>
      <c r="B46" s="205" t="s">
        <v>124</v>
      </c>
      <c r="C46" s="409" t="s">
        <v>147</v>
      </c>
      <c r="D46" s="407" t="s">
        <v>18</v>
      </c>
      <c r="E46" s="406">
        <v>154.80000000000001</v>
      </c>
      <c r="F46" s="408">
        <v>1399.02</v>
      </c>
    </row>
    <row r="47" spans="1:6" ht="20.25" customHeight="1">
      <c r="A47" s="421">
        <v>43355</v>
      </c>
      <c r="B47" s="205" t="s">
        <v>132</v>
      </c>
      <c r="C47" s="405">
        <v>515003</v>
      </c>
      <c r="D47" s="406">
        <v>18</v>
      </c>
      <c r="E47" s="407" t="s">
        <v>18</v>
      </c>
      <c r="F47" s="408">
        <v>1553.82</v>
      </c>
    </row>
    <row r="48" spans="1:6" ht="20.25" customHeight="1">
      <c r="A48" s="421">
        <v>43346</v>
      </c>
      <c r="B48" s="205" t="s">
        <v>149</v>
      </c>
      <c r="C48" s="409" t="s">
        <v>150</v>
      </c>
      <c r="D48" s="407" t="s">
        <v>18</v>
      </c>
      <c r="E48" s="406">
        <v>75</v>
      </c>
      <c r="F48" s="408">
        <v>1535.82</v>
      </c>
    </row>
    <row r="49" spans="1:6" ht="20.25" customHeight="1">
      <c r="A49" s="421">
        <v>43333</v>
      </c>
      <c r="B49" s="205" t="s">
        <v>122</v>
      </c>
      <c r="C49" s="409" t="s">
        <v>123</v>
      </c>
      <c r="D49" s="406">
        <v>111.4</v>
      </c>
      <c r="E49" s="407" t="s">
        <v>18</v>
      </c>
      <c r="F49" s="408">
        <v>1610.82</v>
      </c>
    </row>
    <row r="50" spans="1:6" ht="20.25" customHeight="1">
      <c r="A50" s="421">
        <v>43328</v>
      </c>
      <c r="B50" s="205" t="s">
        <v>124</v>
      </c>
      <c r="C50" s="409" t="s">
        <v>150</v>
      </c>
      <c r="D50" s="407" t="s">
        <v>18</v>
      </c>
      <c r="E50" s="406">
        <v>150</v>
      </c>
      <c r="F50" s="408">
        <v>1499.42</v>
      </c>
    </row>
    <row r="51" spans="1:6" ht="20.25" customHeight="1">
      <c r="A51" s="421">
        <v>43328</v>
      </c>
      <c r="B51" s="205" t="s">
        <v>124</v>
      </c>
      <c r="C51" s="409" t="s">
        <v>232</v>
      </c>
      <c r="D51" s="407" t="s">
        <v>18</v>
      </c>
      <c r="E51" s="406">
        <v>71.3</v>
      </c>
      <c r="F51" s="408">
        <v>1649.42</v>
      </c>
    </row>
    <row r="52" spans="1:6" ht="20.25" customHeight="1">
      <c r="A52" s="421">
        <v>43320</v>
      </c>
      <c r="B52" s="205" t="s">
        <v>122</v>
      </c>
      <c r="C52" s="409" t="s">
        <v>275</v>
      </c>
      <c r="D52" s="406">
        <v>75</v>
      </c>
      <c r="E52" s="407" t="s">
        <v>18</v>
      </c>
      <c r="F52" s="408">
        <v>1720.72</v>
      </c>
    </row>
    <row r="53" spans="1:6" ht="20.25" customHeight="1">
      <c r="A53" s="421">
        <v>43315</v>
      </c>
      <c r="B53" s="205" t="s">
        <v>124</v>
      </c>
      <c r="C53" s="409" t="s">
        <v>311</v>
      </c>
      <c r="D53" s="407" t="s">
        <v>18</v>
      </c>
      <c r="E53" s="406">
        <v>160</v>
      </c>
      <c r="F53" s="408">
        <v>1645.72</v>
      </c>
    </row>
    <row r="54" spans="1:6" ht="20.25" customHeight="1">
      <c r="A54" s="421">
        <v>43315</v>
      </c>
      <c r="B54" s="205" t="s">
        <v>124</v>
      </c>
      <c r="C54" s="409" t="s">
        <v>312</v>
      </c>
      <c r="D54" s="407" t="s">
        <v>18</v>
      </c>
      <c r="E54" s="406">
        <v>260</v>
      </c>
      <c r="F54" s="408">
        <v>1805.72</v>
      </c>
    </row>
    <row r="55" spans="1:6" ht="20.25" customHeight="1">
      <c r="A55" s="421">
        <v>43315</v>
      </c>
      <c r="B55" s="205" t="s">
        <v>124</v>
      </c>
      <c r="C55" s="409" t="s">
        <v>313</v>
      </c>
      <c r="D55" s="407" t="s">
        <v>18</v>
      </c>
      <c r="E55" s="406">
        <v>160</v>
      </c>
      <c r="F55" s="408">
        <v>2065.7199999999998</v>
      </c>
    </row>
    <row r="56" spans="1:6" ht="20.25" customHeight="1">
      <c r="A56" s="421">
        <v>43315</v>
      </c>
      <c r="B56" s="205" t="s">
        <v>124</v>
      </c>
      <c r="C56" s="409" t="s">
        <v>314</v>
      </c>
      <c r="D56" s="407" t="s">
        <v>18</v>
      </c>
      <c r="E56" s="406">
        <v>160</v>
      </c>
      <c r="F56" s="408">
        <v>2225.7199999999998</v>
      </c>
    </row>
    <row r="57" spans="1:6" ht="20.25" customHeight="1">
      <c r="A57" s="421">
        <v>43313</v>
      </c>
      <c r="B57" s="205" t="s">
        <v>149</v>
      </c>
      <c r="C57" s="409" t="s">
        <v>315</v>
      </c>
      <c r="D57" s="407" t="s">
        <v>18</v>
      </c>
      <c r="E57" s="406">
        <v>75</v>
      </c>
      <c r="F57" s="408">
        <v>2385.7199999999998</v>
      </c>
    </row>
    <row r="58" spans="1:6" ht="20.25" customHeight="1">
      <c r="A58" s="421">
        <v>43312</v>
      </c>
      <c r="B58" s="205" t="s">
        <v>124</v>
      </c>
      <c r="C58" s="409" t="s">
        <v>309</v>
      </c>
      <c r="D58" s="407" t="s">
        <v>18</v>
      </c>
      <c r="E58" s="412">
        <v>113.52</v>
      </c>
      <c r="F58" s="408">
        <v>2460.7199999999998</v>
      </c>
    </row>
    <row r="59" spans="1:6" ht="20.25" customHeight="1">
      <c r="A59" s="421">
        <v>43312</v>
      </c>
      <c r="B59" s="205" t="s">
        <v>124</v>
      </c>
      <c r="C59" s="409" t="s">
        <v>147</v>
      </c>
      <c r="D59" s="407" t="s">
        <v>18</v>
      </c>
      <c r="E59" s="406">
        <v>108</v>
      </c>
      <c r="F59" s="408">
        <v>2574.2399999999998</v>
      </c>
    </row>
    <row r="60" spans="1:6" ht="20.25" customHeight="1">
      <c r="A60" s="421">
        <v>43312</v>
      </c>
      <c r="B60" s="205" t="s">
        <v>122</v>
      </c>
      <c r="C60" s="409" t="s">
        <v>123</v>
      </c>
      <c r="D60" s="406">
        <v>347.5</v>
      </c>
      <c r="E60" s="407" t="s">
        <v>18</v>
      </c>
      <c r="F60" s="408">
        <v>2682.24</v>
      </c>
    </row>
    <row r="61" spans="1:6" ht="20.25" customHeight="1">
      <c r="A61" s="421">
        <v>43312</v>
      </c>
      <c r="B61" s="205" t="s">
        <v>122</v>
      </c>
      <c r="C61" s="409" t="s">
        <v>123</v>
      </c>
      <c r="D61" s="406">
        <v>48</v>
      </c>
      <c r="E61" s="407" t="s">
        <v>18</v>
      </c>
      <c r="F61" s="408">
        <v>2334.7399999999998</v>
      </c>
    </row>
    <row r="62" spans="1:6" ht="20.25" customHeight="1">
      <c r="A62" s="421">
        <v>43306</v>
      </c>
      <c r="B62" s="205" t="s">
        <v>122</v>
      </c>
      <c r="C62" s="409" t="s">
        <v>213</v>
      </c>
      <c r="D62" s="406">
        <v>62.5</v>
      </c>
      <c r="E62" s="407" t="s">
        <v>18</v>
      </c>
      <c r="F62" s="408">
        <v>2286.7399999999998</v>
      </c>
    </row>
    <row r="63" spans="1:6" ht="20.25" customHeight="1">
      <c r="A63" s="421">
        <v>43292</v>
      </c>
      <c r="B63" s="205" t="s">
        <v>122</v>
      </c>
      <c r="C63" s="409" t="s">
        <v>128</v>
      </c>
      <c r="D63" s="406">
        <v>300</v>
      </c>
      <c r="E63" s="407" t="s">
        <v>18</v>
      </c>
      <c r="F63" s="408">
        <v>2224.2399999999998</v>
      </c>
    </row>
    <row r="64" spans="1:6" ht="20.25" customHeight="1">
      <c r="A64" s="421">
        <v>43292</v>
      </c>
      <c r="B64" s="205" t="s">
        <v>122</v>
      </c>
      <c r="C64" s="409" t="s">
        <v>128</v>
      </c>
      <c r="D64" s="406">
        <v>200</v>
      </c>
      <c r="E64" s="407" t="s">
        <v>18</v>
      </c>
      <c r="F64" s="408">
        <v>1924.24</v>
      </c>
    </row>
    <row r="65" spans="1:6" ht="20.25" customHeight="1">
      <c r="A65" s="421">
        <v>43290</v>
      </c>
      <c r="B65" s="205" t="s">
        <v>124</v>
      </c>
      <c r="C65" s="409" t="s">
        <v>316</v>
      </c>
      <c r="D65" s="407" t="s">
        <v>18</v>
      </c>
      <c r="E65" s="406">
        <v>150</v>
      </c>
      <c r="F65" s="408">
        <v>1724.24</v>
      </c>
    </row>
    <row r="66" spans="1:6" ht="20.25" customHeight="1">
      <c r="A66" s="421">
        <v>43290</v>
      </c>
      <c r="B66" s="205" t="s">
        <v>122</v>
      </c>
      <c r="C66" s="409" t="s">
        <v>216</v>
      </c>
      <c r="D66" s="406">
        <v>15</v>
      </c>
      <c r="E66" s="407" t="s">
        <v>18</v>
      </c>
      <c r="F66" s="408">
        <v>1874.24</v>
      </c>
    </row>
    <row r="67" spans="1:6" ht="20.25" customHeight="1">
      <c r="A67" s="421">
        <v>43287</v>
      </c>
      <c r="B67" s="205" t="s">
        <v>122</v>
      </c>
      <c r="C67" s="409" t="s">
        <v>275</v>
      </c>
      <c r="D67" s="406">
        <v>75</v>
      </c>
      <c r="E67" s="407" t="s">
        <v>18</v>
      </c>
      <c r="F67" s="408">
        <v>1859.24</v>
      </c>
    </row>
    <row r="68" spans="1:6" ht="20.25" customHeight="1">
      <c r="A68" s="421">
        <v>43285</v>
      </c>
      <c r="B68" s="205" t="s">
        <v>124</v>
      </c>
      <c r="C68" s="409" t="s">
        <v>317</v>
      </c>
      <c r="D68" s="407" t="s">
        <v>18</v>
      </c>
      <c r="E68" s="406">
        <v>34.799999999999997</v>
      </c>
      <c r="F68" s="408">
        <v>1784.24</v>
      </c>
    </row>
    <row r="69" spans="1:6" ht="20.25" customHeight="1">
      <c r="A69" s="421">
        <v>43283</v>
      </c>
      <c r="B69" s="205" t="s">
        <v>149</v>
      </c>
      <c r="C69" s="409" t="s">
        <v>315</v>
      </c>
      <c r="D69" s="407" t="s">
        <v>18</v>
      </c>
      <c r="E69" s="406">
        <v>75</v>
      </c>
      <c r="F69" s="408">
        <v>1819.04</v>
      </c>
    </row>
    <row r="70" spans="1:6" ht="20.25" customHeight="1">
      <c r="A70" s="421">
        <v>43283</v>
      </c>
      <c r="B70" s="205" t="s">
        <v>149</v>
      </c>
      <c r="C70" s="409" t="s">
        <v>165</v>
      </c>
      <c r="D70" s="407" t="s">
        <v>18</v>
      </c>
      <c r="E70" s="406">
        <v>50</v>
      </c>
      <c r="F70" s="408">
        <v>1894.04</v>
      </c>
    </row>
    <row r="71" spans="1:6" ht="20.25" customHeight="1">
      <c r="A71" s="421">
        <v>43279</v>
      </c>
      <c r="B71" s="205" t="s">
        <v>124</v>
      </c>
      <c r="C71" s="409" t="s">
        <v>318</v>
      </c>
      <c r="D71" s="407" t="s">
        <v>18</v>
      </c>
      <c r="E71" s="406">
        <v>300</v>
      </c>
      <c r="F71" s="408">
        <v>1944.04</v>
      </c>
    </row>
    <row r="72" spans="1:6" ht="20.25" customHeight="1">
      <c r="A72" s="421">
        <v>43279</v>
      </c>
      <c r="B72" s="205" t="s">
        <v>132</v>
      </c>
      <c r="C72" s="405">
        <v>100351</v>
      </c>
      <c r="D72" s="406">
        <v>62</v>
      </c>
      <c r="E72" s="407" t="s">
        <v>18</v>
      </c>
      <c r="F72" s="408">
        <v>2244.04</v>
      </c>
    </row>
    <row r="73" spans="1:6" ht="20.25" customHeight="1">
      <c r="A73" s="421">
        <v>43264</v>
      </c>
      <c r="B73" s="205" t="s">
        <v>124</v>
      </c>
      <c r="C73" s="409" t="s">
        <v>232</v>
      </c>
      <c r="D73" s="407" t="s">
        <v>18</v>
      </c>
      <c r="E73" s="406">
        <v>750</v>
      </c>
      <c r="F73" s="408">
        <v>2182.04</v>
      </c>
    </row>
    <row r="74" spans="1:6" ht="20.25" customHeight="1">
      <c r="A74" s="421">
        <v>43263</v>
      </c>
      <c r="B74" s="205" t="s">
        <v>122</v>
      </c>
      <c r="C74" s="409" t="s">
        <v>275</v>
      </c>
      <c r="D74" s="406">
        <v>75</v>
      </c>
      <c r="E74" s="407" t="s">
        <v>18</v>
      </c>
      <c r="F74" s="408">
        <v>2932.04</v>
      </c>
    </row>
    <row r="75" spans="1:6" ht="20.25" customHeight="1">
      <c r="A75" s="421">
        <v>43262</v>
      </c>
      <c r="B75" s="205" t="s">
        <v>124</v>
      </c>
      <c r="C75" s="409" t="s">
        <v>157</v>
      </c>
      <c r="D75" s="407" t="s">
        <v>18</v>
      </c>
      <c r="E75" s="412">
        <v>164.85</v>
      </c>
      <c r="F75" s="408">
        <v>2857.04</v>
      </c>
    </row>
    <row r="76" spans="1:6" ht="20.25" customHeight="1">
      <c r="A76" s="421">
        <v>43262</v>
      </c>
      <c r="B76" s="205" t="s">
        <v>124</v>
      </c>
      <c r="C76" s="409" t="s">
        <v>147</v>
      </c>
      <c r="D76" s="407" t="s">
        <v>18</v>
      </c>
      <c r="E76" s="406">
        <v>213.3</v>
      </c>
      <c r="F76" s="408">
        <v>3021.89</v>
      </c>
    </row>
    <row r="77" spans="1:6" ht="20.25" customHeight="1">
      <c r="A77" s="421">
        <v>43262</v>
      </c>
      <c r="B77" s="205" t="s">
        <v>124</v>
      </c>
      <c r="C77" s="409" t="s">
        <v>181</v>
      </c>
      <c r="D77" s="407" t="s">
        <v>18</v>
      </c>
      <c r="E77" s="412">
        <v>28.97</v>
      </c>
      <c r="F77" s="408">
        <v>3235.19</v>
      </c>
    </row>
    <row r="78" spans="1:6" ht="20.25" customHeight="1">
      <c r="A78" s="421">
        <v>43262</v>
      </c>
      <c r="B78" s="205" t="s">
        <v>122</v>
      </c>
      <c r="C78" s="409" t="s">
        <v>123</v>
      </c>
      <c r="D78" s="406">
        <v>166.5</v>
      </c>
      <c r="E78" s="407" t="s">
        <v>18</v>
      </c>
      <c r="F78" s="408">
        <v>3264.16</v>
      </c>
    </row>
    <row r="79" spans="1:6" ht="20.25" customHeight="1">
      <c r="A79" s="421">
        <v>43262</v>
      </c>
      <c r="B79" s="205" t="s">
        <v>122</v>
      </c>
      <c r="C79" s="409" t="s">
        <v>123</v>
      </c>
      <c r="D79" s="406">
        <v>16</v>
      </c>
      <c r="E79" s="407" t="s">
        <v>18</v>
      </c>
      <c r="F79" s="408">
        <v>3097.66</v>
      </c>
    </row>
    <row r="80" spans="1:6" ht="20.25" customHeight="1">
      <c r="A80" s="421">
        <v>43262</v>
      </c>
      <c r="B80" s="205" t="s">
        <v>122</v>
      </c>
      <c r="C80" s="409" t="s">
        <v>123</v>
      </c>
      <c r="D80" s="406">
        <v>9.1999999999999993</v>
      </c>
      <c r="E80" s="407" t="s">
        <v>18</v>
      </c>
      <c r="F80" s="408">
        <v>3081.66</v>
      </c>
    </row>
    <row r="81" spans="1:6" ht="20.25" customHeight="1">
      <c r="A81" s="421">
        <v>43262</v>
      </c>
      <c r="B81" s="205" t="s">
        <v>122</v>
      </c>
      <c r="C81" s="409" t="s">
        <v>123</v>
      </c>
      <c r="D81" s="406">
        <v>70</v>
      </c>
      <c r="E81" s="407" t="s">
        <v>18</v>
      </c>
      <c r="F81" s="408">
        <v>3072.46</v>
      </c>
    </row>
    <row r="82" spans="1:6" ht="20.25" customHeight="1">
      <c r="A82" s="421">
        <v>43262</v>
      </c>
      <c r="B82" s="205" t="s">
        <v>122</v>
      </c>
      <c r="C82" s="409" t="s">
        <v>123</v>
      </c>
      <c r="D82" s="412">
        <v>140.65</v>
      </c>
      <c r="E82" s="407" t="s">
        <v>18</v>
      </c>
      <c r="F82" s="408">
        <v>3002.46</v>
      </c>
    </row>
    <row r="83" spans="1:6" ht="20.25" customHeight="1">
      <c r="A83" s="421">
        <v>43262</v>
      </c>
      <c r="B83" s="205" t="s">
        <v>122</v>
      </c>
      <c r="C83" s="409" t="s">
        <v>123</v>
      </c>
      <c r="D83" s="406">
        <v>98</v>
      </c>
      <c r="E83" s="407" t="s">
        <v>18</v>
      </c>
      <c r="F83" s="408">
        <v>2861.81</v>
      </c>
    </row>
    <row r="84" spans="1:6" ht="20.25" customHeight="1">
      <c r="A84" s="421">
        <v>43262</v>
      </c>
      <c r="B84" s="205" t="s">
        <v>122</v>
      </c>
      <c r="C84" s="409" t="s">
        <v>123</v>
      </c>
      <c r="D84" s="406">
        <v>54.5</v>
      </c>
      <c r="E84" s="407" t="s">
        <v>18</v>
      </c>
      <c r="F84" s="408">
        <v>2763.81</v>
      </c>
    </row>
    <row r="85" spans="1:6" ht="20.25" customHeight="1">
      <c r="A85" s="421">
        <v>43252</v>
      </c>
      <c r="B85" s="205" t="s">
        <v>149</v>
      </c>
      <c r="C85" s="409" t="s">
        <v>315</v>
      </c>
      <c r="D85" s="407" t="s">
        <v>18</v>
      </c>
      <c r="E85" s="406">
        <v>75</v>
      </c>
      <c r="F85" s="408">
        <v>2709.31</v>
      </c>
    </row>
    <row r="86" spans="1:6" ht="20.25" customHeight="1">
      <c r="A86" s="421">
        <v>43249</v>
      </c>
      <c r="B86" s="205" t="s">
        <v>122</v>
      </c>
      <c r="C86" s="409" t="s">
        <v>123</v>
      </c>
      <c r="D86" s="406">
        <v>46</v>
      </c>
      <c r="E86" s="407" t="s">
        <v>18</v>
      </c>
      <c r="F86" s="408">
        <v>2784.31</v>
      </c>
    </row>
    <row r="87" spans="1:6" ht="20.25" customHeight="1">
      <c r="A87" s="421">
        <v>43249</v>
      </c>
      <c r="B87" s="205" t="s">
        <v>122</v>
      </c>
      <c r="C87" s="409" t="s">
        <v>123</v>
      </c>
      <c r="D87" s="406">
        <v>156</v>
      </c>
      <c r="E87" s="407" t="s">
        <v>18</v>
      </c>
      <c r="F87" s="408">
        <v>2738.31</v>
      </c>
    </row>
    <row r="88" spans="1:6" ht="20.25" customHeight="1">
      <c r="A88" s="421">
        <v>43241</v>
      </c>
      <c r="B88" s="205" t="s">
        <v>124</v>
      </c>
      <c r="C88" s="409" t="s">
        <v>250</v>
      </c>
      <c r="D88" s="407" t="s">
        <v>18</v>
      </c>
      <c r="E88" s="410">
        <v>4000</v>
      </c>
      <c r="F88" s="408">
        <v>2582.31</v>
      </c>
    </row>
    <row r="89" spans="1:6" ht="20.25" customHeight="1">
      <c r="A89" s="421">
        <v>43238</v>
      </c>
      <c r="B89" s="205" t="s">
        <v>132</v>
      </c>
      <c r="C89" s="405">
        <v>515003</v>
      </c>
      <c r="D89" s="406">
        <v>302</v>
      </c>
      <c r="E89" s="407" t="s">
        <v>18</v>
      </c>
      <c r="F89" s="408">
        <v>6582.31</v>
      </c>
    </row>
    <row r="90" spans="1:6" ht="20.25" customHeight="1">
      <c r="A90" s="421">
        <v>43234</v>
      </c>
      <c r="B90" s="205" t="s">
        <v>124</v>
      </c>
      <c r="C90" s="409" t="s">
        <v>319</v>
      </c>
      <c r="D90" s="407" t="s">
        <v>18</v>
      </c>
      <c r="E90" s="412">
        <v>49.76</v>
      </c>
      <c r="F90" s="408">
        <v>6280.31</v>
      </c>
    </row>
    <row r="91" spans="1:6" ht="20.25" customHeight="1">
      <c r="A91" s="421">
        <v>43234</v>
      </c>
      <c r="B91" s="205" t="s">
        <v>124</v>
      </c>
      <c r="C91" s="409" t="s">
        <v>232</v>
      </c>
      <c r="D91" s="407" t="s">
        <v>18</v>
      </c>
      <c r="E91" s="412">
        <v>69.08</v>
      </c>
      <c r="F91" s="408">
        <v>6330.07</v>
      </c>
    </row>
    <row r="92" spans="1:6" ht="20.25" customHeight="1">
      <c r="A92" s="421">
        <v>43234</v>
      </c>
      <c r="B92" s="205" t="s">
        <v>124</v>
      </c>
      <c r="C92" s="409" t="s">
        <v>258</v>
      </c>
      <c r="D92" s="407" t="s">
        <v>18</v>
      </c>
      <c r="E92" s="410">
        <v>1200</v>
      </c>
      <c r="F92" s="408">
        <v>6399.15</v>
      </c>
    </row>
    <row r="93" spans="1:6" ht="20.25" customHeight="1">
      <c r="A93" s="421">
        <v>43221</v>
      </c>
      <c r="B93" s="205" t="s">
        <v>149</v>
      </c>
      <c r="C93" s="409" t="s">
        <v>315</v>
      </c>
      <c r="D93" s="407" t="s">
        <v>18</v>
      </c>
      <c r="E93" s="406">
        <v>75</v>
      </c>
      <c r="F93" s="408">
        <v>7599.15</v>
      </c>
    </row>
    <row r="94" spans="1:6" ht="20.25" customHeight="1">
      <c r="A94" s="421">
        <v>43221</v>
      </c>
      <c r="B94" s="205" t="s">
        <v>122</v>
      </c>
      <c r="C94" s="409" t="s">
        <v>205</v>
      </c>
      <c r="D94" s="412">
        <v>35.36</v>
      </c>
      <c r="E94" s="407" t="s">
        <v>18</v>
      </c>
      <c r="F94" s="408">
        <v>7674.15</v>
      </c>
    </row>
    <row r="95" spans="1:6" ht="20.25" customHeight="1">
      <c r="A95" s="421">
        <v>43221</v>
      </c>
      <c r="B95" s="205" t="s">
        <v>122</v>
      </c>
      <c r="C95" s="409" t="s">
        <v>219</v>
      </c>
      <c r="D95" s="406">
        <v>10</v>
      </c>
      <c r="E95" s="407" t="s">
        <v>18</v>
      </c>
      <c r="F95" s="408">
        <v>7638.79</v>
      </c>
    </row>
    <row r="96" spans="1:6" ht="20.25" customHeight="1">
      <c r="A96" s="421">
        <v>43220</v>
      </c>
      <c r="B96" s="205" t="s">
        <v>122</v>
      </c>
      <c r="C96" s="409" t="s">
        <v>220</v>
      </c>
      <c r="D96" s="410">
        <v>4500</v>
      </c>
      <c r="E96" s="407" t="s">
        <v>18</v>
      </c>
      <c r="F96" s="408">
        <v>7628.79</v>
      </c>
    </row>
    <row r="97" spans="1:6" ht="20.25" customHeight="1">
      <c r="A97" s="421">
        <v>43220</v>
      </c>
      <c r="B97" s="205" t="s">
        <v>122</v>
      </c>
      <c r="C97" s="409" t="s">
        <v>123</v>
      </c>
      <c r="D97" s="412">
        <v>102.57</v>
      </c>
      <c r="E97" s="407" t="s">
        <v>18</v>
      </c>
      <c r="F97" s="408">
        <v>3128.79</v>
      </c>
    </row>
    <row r="98" spans="1:6" ht="20.25" customHeight="1">
      <c r="A98" s="421">
        <v>43220</v>
      </c>
      <c r="B98" s="205" t="s">
        <v>122</v>
      </c>
      <c r="C98" s="409" t="s">
        <v>123</v>
      </c>
      <c r="D98" s="406">
        <v>428</v>
      </c>
      <c r="E98" s="407" t="s">
        <v>18</v>
      </c>
      <c r="F98" s="408">
        <v>3026.22</v>
      </c>
    </row>
    <row r="99" spans="1:6" ht="20.25" customHeight="1">
      <c r="A99" s="421">
        <v>43220</v>
      </c>
      <c r="B99" s="205" t="s">
        <v>122</v>
      </c>
      <c r="C99" s="409" t="s">
        <v>123</v>
      </c>
      <c r="D99" s="406">
        <v>33</v>
      </c>
      <c r="E99" s="407" t="s">
        <v>18</v>
      </c>
      <c r="F99" s="408">
        <v>2598.2199999999998</v>
      </c>
    </row>
    <row r="100" spans="1:6" ht="20.25" customHeight="1">
      <c r="A100" s="421">
        <v>43220</v>
      </c>
      <c r="B100" s="205" t="s">
        <v>122</v>
      </c>
      <c r="C100" s="409" t="s">
        <v>123</v>
      </c>
      <c r="D100" s="406">
        <v>288</v>
      </c>
      <c r="E100" s="407" t="s">
        <v>18</v>
      </c>
      <c r="F100" s="408">
        <v>2565.2199999999998</v>
      </c>
    </row>
    <row r="101" spans="1:6" ht="20.25" customHeight="1">
      <c r="A101" s="421">
        <v>43217</v>
      </c>
      <c r="B101" s="205" t="s">
        <v>122</v>
      </c>
      <c r="C101" s="409" t="s">
        <v>205</v>
      </c>
      <c r="D101" s="412">
        <v>53.05</v>
      </c>
      <c r="E101" s="407" t="s">
        <v>18</v>
      </c>
      <c r="F101" s="408">
        <v>2277.2199999999998</v>
      </c>
    </row>
    <row r="102" spans="1:6" ht="20.25" customHeight="1">
      <c r="A102" s="421">
        <v>43216</v>
      </c>
      <c r="B102" s="205" t="s">
        <v>122</v>
      </c>
      <c r="C102" s="409" t="s">
        <v>205</v>
      </c>
      <c r="D102" s="412">
        <v>17.68</v>
      </c>
      <c r="E102" s="407" t="s">
        <v>18</v>
      </c>
      <c r="F102" s="408">
        <v>2224.17</v>
      </c>
    </row>
    <row r="103" spans="1:6" ht="20.25" customHeight="1">
      <c r="A103" s="421">
        <v>43215</v>
      </c>
      <c r="B103" s="205" t="s">
        <v>122</v>
      </c>
      <c r="C103" s="409" t="s">
        <v>205</v>
      </c>
      <c r="D103" s="412">
        <v>6.86</v>
      </c>
      <c r="E103" s="407" t="s">
        <v>18</v>
      </c>
      <c r="F103" s="408">
        <v>2206.4899999999998</v>
      </c>
    </row>
    <row r="104" spans="1:6" ht="20.25" customHeight="1">
      <c r="A104" s="421">
        <v>43201</v>
      </c>
      <c r="B104" s="205" t="s">
        <v>122</v>
      </c>
      <c r="C104" s="409" t="s">
        <v>205</v>
      </c>
      <c r="D104" s="412">
        <v>2.94</v>
      </c>
      <c r="E104" s="407" t="s">
        <v>18</v>
      </c>
      <c r="F104" s="408">
        <v>2199.63</v>
      </c>
    </row>
    <row r="105" spans="1:6" ht="20.25" customHeight="1">
      <c r="A105" s="421">
        <v>43193</v>
      </c>
      <c r="B105" s="205" t="s">
        <v>149</v>
      </c>
      <c r="C105" s="409" t="s">
        <v>315</v>
      </c>
      <c r="D105" s="407" t="s">
        <v>18</v>
      </c>
      <c r="E105" s="406">
        <v>75</v>
      </c>
      <c r="F105" s="408">
        <v>2196.69</v>
      </c>
    </row>
    <row r="106" spans="1:6" ht="20.25" customHeight="1">
      <c r="A106" s="421">
        <v>43193</v>
      </c>
      <c r="B106" s="205" t="s">
        <v>149</v>
      </c>
      <c r="C106" s="409" t="s">
        <v>165</v>
      </c>
      <c r="D106" s="407" t="s">
        <v>18</v>
      </c>
      <c r="E106" s="406">
        <v>50</v>
      </c>
      <c r="F106" s="408">
        <v>2271.69</v>
      </c>
    </row>
    <row r="107" spans="1:6" ht="20.25" customHeight="1">
      <c r="A107" s="422" t="s">
        <v>354</v>
      </c>
      <c r="B107" s="10"/>
      <c r="C107" s="411"/>
      <c r="D107" s="8"/>
      <c r="E107" s="8"/>
      <c r="F107" s="8"/>
    </row>
    <row r="108" spans="1:6" ht="20.25" customHeight="1">
      <c r="A108" s="421">
        <v>43550</v>
      </c>
      <c r="B108" s="205" t="s">
        <v>132</v>
      </c>
      <c r="C108" s="405">
        <v>515003</v>
      </c>
      <c r="D108" s="406">
        <v>88</v>
      </c>
      <c r="E108" s="407" t="s">
        <v>18</v>
      </c>
      <c r="F108" s="408">
        <v>12735.39</v>
      </c>
    </row>
    <row r="109" spans="1:6" ht="20.25" customHeight="1">
      <c r="A109" s="421">
        <v>43539</v>
      </c>
      <c r="B109" s="205" t="s">
        <v>124</v>
      </c>
      <c r="C109" s="409" t="s">
        <v>142</v>
      </c>
      <c r="D109" s="407" t="s">
        <v>18</v>
      </c>
      <c r="E109" s="410">
        <v>2000</v>
      </c>
      <c r="F109" s="408">
        <v>12647.39</v>
      </c>
    </row>
    <row r="110" spans="1:6" ht="20.25" customHeight="1">
      <c r="A110" s="421">
        <v>43524</v>
      </c>
      <c r="B110" s="205" t="s">
        <v>109</v>
      </c>
      <c r="C110" s="409" t="s">
        <v>197</v>
      </c>
      <c r="D110" s="412">
        <v>2.25</v>
      </c>
      <c r="E110" s="407" t="s">
        <v>18</v>
      </c>
      <c r="F110" s="408">
        <v>14647.39</v>
      </c>
    </row>
    <row r="111" spans="1:6" ht="20.25" customHeight="1">
      <c r="A111" s="421">
        <v>43496</v>
      </c>
      <c r="B111" s="205" t="s">
        <v>109</v>
      </c>
      <c r="C111" s="409" t="s">
        <v>198</v>
      </c>
      <c r="D111" s="412">
        <v>2.4900000000000002</v>
      </c>
      <c r="E111" s="407" t="s">
        <v>18</v>
      </c>
      <c r="F111" s="408">
        <v>14645.14</v>
      </c>
    </row>
    <row r="112" spans="1:6" ht="20.25" customHeight="1">
      <c r="A112" s="421">
        <v>43465</v>
      </c>
      <c r="B112" s="205" t="s">
        <v>109</v>
      </c>
      <c r="C112" s="409" t="s">
        <v>119</v>
      </c>
      <c r="D112" s="412">
        <v>2.68</v>
      </c>
      <c r="E112" s="407" t="s">
        <v>18</v>
      </c>
      <c r="F112" s="408">
        <v>14642.65</v>
      </c>
    </row>
    <row r="113" spans="1:6" ht="20.25" customHeight="1">
      <c r="A113" s="421">
        <v>43452</v>
      </c>
      <c r="B113" s="205" t="s">
        <v>124</v>
      </c>
      <c r="C113" s="409" t="s">
        <v>142</v>
      </c>
      <c r="D113" s="407" t="s">
        <v>18</v>
      </c>
      <c r="E113" s="410">
        <v>2000</v>
      </c>
      <c r="F113" s="408">
        <v>14639.97</v>
      </c>
    </row>
    <row r="114" spans="1:6" ht="20.25" customHeight="1">
      <c r="A114" s="421">
        <v>43434</v>
      </c>
      <c r="B114" s="205" t="s">
        <v>109</v>
      </c>
      <c r="C114" s="409" t="s">
        <v>120</v>
      </c>
      <c r="D114" s="412">
        <v>2.73</v>
      </c>
      <c r="E114" s="407" t="s">
        <v>18</v>
      </c>
      <c r="F114" s="408">
        <v>16639.97</v>
      </c>
    </row>
    <row r="115" spans="1:6" ht="20.25" customHeight="1">
      <c r="A115" s="421">
        <v>43404</v>
      </c>
      <c r="B115" s="205" t="s">
        <v>109</v>
      </c>
      <c r="C115" s="407" t="s">
        <v>200</v>
      </c>
      <c r="D115" s="406">
        <v>2.8</v>
      </c>
      <c r="E115" s="407" t="s">
        <v>18</v>
      </c>
      <c r="F115" s="408">
        <v>16637.240000000002</v>
      </c>
    </row>
    <row r="116" spans="1:6" ht="20.25" customHeight="1">
      <c r="A116" s="421">
        <v>43371</v>
      </c>
      <c r="B116" s="205" t="s">
        <v>109</v>
      </c>
      <c r="C116" s="407" t="s">
        <v>266</v>
      </c>
      <c r="D116" s="412">
        <v>0.64</v>
      </c>
      <c r="E116" s="407" t="s">
        <v>18</v>
      </c>
      <c r="F116" s="408">
        <v>16634.439999999999</v>
      </c>
    </row>
    <row r="117" spans="1:6" ht="20.25" customHeight="1">
      <c r="A117" s="421">
        <v>43343</v>
      </c>
      <c r="B117" s="205" t="s">
        <v>109</v>
      </c>
      <c r="C117" s="407" t="s">
        <v>267</v>
      </c>
      <c r="D117" s="412">
        <v>0.71</v>
      </c>
      <c r="E117" s="407" t="s">
        <v>18</v>
      </c>
      <c r="F117" s="410">
        <v>16633.8</v>
      </c>
    </row>
    <row r="118" spans="1:6" ht="20.25" customHeight="1">
      <c r="A118" s="421">
        <v>43312</v>
      </c>
      <c r="B118" s="205" t="s">
        <v>109</v>
      </c>
      <c r="C118" s="407" t="s">
        <v>112</v>
      </c>
      <c r="D118" s="412">
        <v>0.73</v>
      </c>
      <c r="E118" s="407" t="s">
        <v>18</v>
      </c>
      <c r="F118" s="408">
        <v>16633.09</v>
      </c>
    </row>
    <row r="119" spans="1:6" ht="20.25" customHeight="1">
      <c r="A119" s="421">
        <v>43280</v>
      </c>
      <c r="B119" s="205" t="s">
        <v>109</v>
      </c>
      <c r="C119" s="407" t="s">
        <v>268</v>
      </c>
      <c r="D119" s="412">
        <v>0.66</v>
      </c>
      <c r="E119" s="407" t="s">
        <v>18</v>
      </c>
      <c r="F119" s="408">
        <v>16632.36</v>
      </c>
    </row>
    <row r="120" spans="1:6" ht="20.25" customHeight="1">
      <c r="A120" s="421">
        <v>43251</v>
      </c>
      <c r="B120" s="205" t="s">
        <v>109</v>
      </c>
      <c r="C120" s="407" t="s">
        <v>204</v>
      </c>
      <c r="D120" s="412">
        <v>0.59</v>
      </c>
      <c r="E120" s="407" t="s">
        <v>18</v>
      </c>
      <c r="F120" s="410">
        <v>16631.7</v>
      </c>
    </row>
    <row r="121" spans="1:6" ht="20.25" customHeight="1">
      <c r="A121" s="421">
        <v>43241</v>
      </c>
      <c r="B121" s="205" t="s">
        <v>124</v>
      </c>
      <c r="C121" s="407" t="s">
        <v>202</v>
      </c>
      <c r="D121" s="410">
        <v>4000</v>
      </c>
      <c r="E121" s="407" t="s">
        <v>18</v>
      </c>
      <c r="F121" s="408">
        <v>16631.11</v>
      </c>
    </row>
    <row r="122" spans="1:6" ht="20.25" customHeight="1">
      <c r="A122" s="421">
        <v>43220</v>
      </c>
      <c r="B122" s="205" t="s">
        <v>109</v>
      </c>
      <c r="C122" s="407" t="s">
        <v>115</v>
      </c>
      <c r="D122" s="412">
        <v>0.55000000000000004</v>
      </c>
      <c r="E122" s="407" t="s">
        <v>18</v>
      </c>
      <c r="F122" s="408">
        <v>12631.11</v>
      </c>
    </row>
    <row r="123" spans="1:6" ht="20.25" customHeight="1">
      <c r="A123" s="421"/>
      <c r="B123" s="10"/>
      <c r="C123" s="8"/>
      <c r="D123" s="410">
        <f>SUM(D3:D122)</f>
        <v>19303.539999999997</v>
      </c>
      <c r="E123" s="410">
        <f>SUM(E3:E122)</f>
        <v>19815.63</v>
      </c>
      <c r="F123" s="8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44"/>
  <sheetViews>
    <sheetView showGridLines="0" workbookViewId="0">
      <selection activeCell="G21" sqref="G21"/>
    </sheetView>
  </sheetViews>
  <sheetFormatPr baseColWidth="10" defaultColWidth="16.33203125" defaultRowHeight="14" customHeight="1"/>
  <cols>
    <col min="1" max="1" width="10.33203125" style="1" customWidth="1"/>
    <col min="2" max="2" width="8.6640625" style="1" customWidth="1"/>
    <col min="3" max="3" width="19.83203125" style="1" customWidth="1"/>
    <col min="4" max="4" width="9.33203125" style="1" customWidth="1"/>
    <col min="5" max="5" width="10.33203125" style="1" customWidth="1"/>
    <col min="6" max="7" width="16.33203125" style="1" customWidth="1"/>
    <col min="8" max="16384" width="16.33203125" style="1"/>
  </cols>
  <sheetData>
    <row r="1" spans="1:6" ht="14.75" customHeight="1">
      <c r="A1" s="580" t="s">
        <v>88</v>
      </c>
      <c r="B1" s="600"/>
      <c r="C1" s="600"/>
      <c r="D1" s="600"/>
      <c r="E1" s="600"/>
      <c r="F1" s="601"/>
    </row>
    <row r="2" spans="1:6" ht="14.75" customHeight="1">
      <c r="A2" s="423"/>
      <c r="B2" s="424"/>
      <c r="C2" s="425"/>
      <c r="D2" s="426"/>
      <c r="E2" s="426"/>
      <c r="F2" s="426"/>
    </row>
    <row r="3" spans="1:6" ht="14" customHeight="1">
      <c r="A3" s="427" t="s">
        <v>105</v>
      </c>
      <c r="B3" s="428"/>
      <c r="C3" s="368"/>
      <c r="D3" s="366"/>
      <c r="E3" s="366"/>
      <c r="F3" s="366"/>
    </row>
    <row r="4" spans="1:6" ht="14" customHeight="1">
      <c r="A4" s="429">
        <v>43921</v>
      </c>
      <c r="B4" s="428" t="s">
        <v>109</v>
      </c>
      <c r="C4" s="368" t="s">
        <v>116</v>
      </c>
      <c r="D4" s="430">
        <v>3.12</v>
      </c>
      <c r="E4" s="368" t="s">
        <v>18</v>
      </c>
      <c r="F4" s="366">
        <v>16874.669999999998</v>
      </c>
    </row>
    <row r="5" spans="1:6" ht="14" customHeight="1">
      <c r="A5" s="429">
        <v>43906</v>
      </c>
      <c r="B5" s="428" t="s">
        <v>124</v>
      </c>
      <c r="C5" s="368" t="s">
        <v>142</v>
      </c>
      <c r="D5" s="368" t="s">
        <v>18</v>
      </c>
      <c r="E5" s="366">
        <v>1000</v>
      </c>
      <c r="F5" s="366">
        <v>16871.55</v>
      </c>
    </row>
    <row r="6" spans="1:6" ht="14" customHeight="1">
      <c r="A6" s="429">
        <v>43896</v>
      </c>
      <c r="B6" s="428" t="s">
        <v>124</v>
      </c>
      <c r="C6" s="368" t="s">
        <v>142</v>
      </c>
      <c r="D6" s="368" t="s">
        <v>18</v>
      </c>
      <c r="E6" s="366">
        <v>1800</v>
      </c>
      <c r="F6" s="366">
        <v>17871.55</v>
      </c>
    </row>
    <row r="7" spans="1:6" ht="14" customHeight="1">
      <c r="A7" s="429">
        <v>43889</v>
      </c>
      <c r="B7" s="428" t="s">
        <v>109</v>
      </c>
      <c r="C7" s="368" t="s">
        <v>197</v>
      </c>
      <c r="D7" s="430">
        <v>3.13</v>
      </c>
      <c r="E7" s="368" t="s">
        <v>18</v>
      </c>
      <c r="F7" s="366">
        <v>19671.55</v>
      </c>
    </row>
    <row r="8" spans="1:6" ht="14" customHeight="1">
      <c r="A8" s="429">
        <v>43885</v>
      </c>
      <c r="B8" s="428" t="s">
        <v>124</v>
      </c>
      <c r="C8" s="368" t="s">
        <v>142</v>
      </c>
      <c r="D8" s="368" t="s">
        <v>18</v>
      </c>
      <c r="E8" s="430">
        <v>500</v>
      </c>
      <c r="F8" s="366">
        <v>19668.419999999998</v>
      </c>
    </row>
    <row r="9" spans="1:6" ht="14" customHeight="1">
      <c r="A9" s="429">
        <v>43871</v>
      </c>
      <c r="B9" s="428" t="s">
        <v>124</v>
      </c>
      <c r="C9" s="368" t="s">
        <v>142</v>
      </c>
      <c r="D9" s="368" t="s">
        <v>18</v>
      </c>
      <c r="E9" s="430">
        <v>800</v>
      </c>
      <c r="F9" s="366">
        <v>20168.419999999998</v>
      </c>
    </row>
    <row r="10" spans="1:6" ht="14" customHeight="1">
      <c r="A10" s="429">
        <v>43861</v>
      </c>
      <c r="B10" s="428" t="s">
        <v>109</v>
      </c>
      <c r="C10" s="368" t="s">
        <v>198</v>
      </c>
      <c r="D10" s="430">
        <v>3.56</v>
      </c>
      <c r="E10" s="368" t="s">
        <v>18</v>
      </c>
      <c r="F10" s="366">
        <v>20968.419999999998</v>
      </c>
    </row>
    <row r="11" spans="1:6" ht="14" customHeight="1">
      <c r="A11" s="429">
        <v>43830</v>
      </c>
      <c r="B11" s="428" t="s">
        <v>109</v>
      </c>
      <c r="C11" s="368" t="s">
        <v>119</v>
      </c>
      <c r="D11" s="430">
        <v>3.68</v>
      </c>
      <c r="E11" s="368" t="s">
        <v>18</v>
      </c>
      <c r="F11" s="366">
        <v>20964.86</v>
      </c>
    </row>
    <row r="12" spans="1:6" ht="14" customHeight="1">
      <c r="A12" s="429">
        <v>43798</v>
      </c>
      <c r="B12" s="428" t="s">
        <v>109</v>
      </c>
      <c r="C12" s="368" t="s">
        <v>199</v>
      </c>
      <c r="D12" s="430">
        <v>3.45</v>
      </c>
      <c r="E12" s="368" t="s">
        <v>18</v>
      </c>
      <c r="F12" s="366">
        <v>20961.18</v>
      </c>
    </row>
    <row r="13" spans="1:6" ht="14" customHeight="1">
      <c r="A13" s="429">
        <v>43796</v>
      </c>
      <c r="B13" s="428" t="s">
        <v>124</v>
      </c>
      <c r="C13" s="368" t="s">
        <v>142</v>
      </c>
      <c r="D13" s="368" t="s">
        <v>18</v>
      </c>
      <c r="E13" s="430">
        <v>800</v>
      </c>
      <c r="F13" s="366">
        <v>20957.73</v>
      </c>
    </row>
    <row r="14" spans="1:6" ht="14" customHeight="1">
      <c r="A14" s="429">
        <v>43769</v>
      </c>
      <c r="B14" s="428" t="s">
        <v>109</v>
      </c>
      <c r="C14" s="368" t="s">
        <v>200</v>
      </c>
      <c r="D14" s="430">
        <v>3.7</v>
      </c>
      <c r="E14" s="368" t="s">
        <v>18</v>
      </c>
      <c r="F14" s="366">
        <v>21757.73</v>
      </c>
    </row>
    <row r="15" spans="1:6" ht="14" customHeight="1">
      <c r="A15" s="429">
        <v>43738</v>
      </c>
      <c r="B15" s="428" t="s">
        <v>109</v>
      </c>
      <c r="C15" s="368" t="s">
        <v>110</v>
      </c>
      <c r="D15" s="430">
        <v>3.69</v>
      </c>
      <c r="E15" s="368" t="s">
        <v>18</v>
      </c>
      <c r="F15" s="366">
        <v>21754.03</v>
      </c>
    </row>
    <row r="16" spans="1:6" ht="14" customHeight="1">
      <c r="A16" s="429">
        <v>43707</v>
      </c>
      <c r="B16" s="428" t="s">
        <v>109</v>
      </c>
      <c r="C16" s="368" t="s">
        <v>201</v>
      </c>
      <c r="D16" s="430">
        <v>2.85</v>
      </c>
      <c r="E16" s="368" t="s">
        <v>18</v>
      </c>
      <c r="F16" s="366">
        <v>21750.34</v>
      </c>
    </row>
    <row r="17" spans="1:6" ht="14" customHeight="1">
      <c r="A17" s="429">
        <v>43699</v>
      </c>
      <c r="B17" s="428" t="s">
        <v>124</v>
      </c>
      <c r="C17" s="368" t="s">
        <v>202</v>
      </c>
      <c r="D17" s="366">
        <v>6000</v>
      </c>
      <c r="E17" s="368" t="s">
        <v>18</v>
      </c>
      <c r="F17" s="366">
        <v>21747.49</v>
      </c>
    </row>
    <row r="18" spans="1:6" ht="14" customHeight="1">
      <c r="A18" s="429">
        <v>43677</v>
      </c>
      <c r="B18" s="428" t="s">
        <v>109</v>
      </c>
      <c r="C18" s="368" t="s">
        <v>112</v>
      </c>
      <c r="D18" s="430">
        <v>2.85</v>
      </c>
      <c r="E18" s="368" t="s">
        <v>18</v>
      </c>
      <c r="F18" s="366">
        <v>15747.49</v>
      </c>
    </row>
    <row r="19" spans="1:6" ht="14" customHeight="1">
      <c r="A19" s="429">
        <v>43644</v>
      </c>
      <c r="B19" s="428" t="s">
        <v>109</v>
      </c>
      <c r="C19" s="368" t="s">
        <v>203</v>
      </c>
      <c r="D19" s="430">
        <v>2.41</v>
      </c>
      <c r="E19" s="368" t="s">
        <v>18</v>
      </c>
      <c r="F19" s="366">
        <v>15744.64</v>
      </c>
    </row>
    <row r="20" spans="1:6" ht="13.75" customHeight="1">
      <c r="A20" s="431">
        <v>43616</v>
      </c>
      <c r="B20" s="428" t="s">
        <v>109</v>
      </c>
      <c r="C20" s="368" t="s">
        <v>204</v>
      </c>
      <c r="D20" s="430">
        <v>2.44</v>
      </c>
      <c r="E20" s="368" t="s">
        <v>18</v>
      </c>
      <c r="F20" s="366">
        <v>15742.23</v>
      </c>
    </row>
    <row r="21" spans="1:6" ht="13.5" customHeight="1">
      <c r="A21" s="431">
        <v>43599</v>
      </c>
      <c r="B21" s="428" t="s">
        <v>124</v>
      </c>
      <c r="C21" s="368" t="s">
        <v>202</v>
      </c>
      <c r="D21" s="366">
        <v>3000</v>
      </c>
      <c r="E21" s="368" t="s">
        <v>18</v>
      </c>
      <c r="F21" s="366">
        <v>15739.79</v>
      </c>
    </row>
    <row r="22" spans="1:6" ht="13.75" customHeight="1">
      <c r="A22" s="432">
        <v>43585</v>
      </c>
      <c r="B22" s="428" t="s">
        <v>109</v>
      </c>
      <c r="C22" s="368" t="s">
        <v>115</v>
      </c>
      <c r="D22" s="430">
        <v>2.23</v>
      </c>
      <c r="E22" s="368" t="s">
        <v>18</v>
      </c>
      <c r="F22" s="366">
        <v>12739.79</v>
      </c>
    </row>
    <row r="23" spans="1:6" ht="14" customHeight="1">
      <c r="A23" s="433" t="s">
        <v>106</v>
      </c>
      <c r="B23" s="428"/>
      <c r="C23" s="434"/>
      <c r="D23" s="366"/>
      <c r="E23" s="368"/>
      <c r="F23" s="366"/>
    </row>
    <row r="24" spans="1:6" ht="14" customHeight="1">
      <c r="A24" s="429">
        <v>43913</v>
      </c>
      <c r="B24" s="428" t="s">
        <v>122</v>
      </c>
      <c r="C24" s="434" t="s">
        <v>123</v>
      </c>
      <c r="D24" s="366">
        <v>52.6</v>
      </c>
      <c r="E24" s="368" t="s">
        <v>18</v>
      </c>
      <c r="F24" s="366">
        <v>1252.3499999999999</v>
      </c>
    </row>
    <row r="25" spans="1:6" ht="14" customHeight="1">
      <c r="A25" s="429">
        <v>43913</v>
      </c>
      <c r="B25" s="428" t="s">
        <v>122</v>
      </c>
      <c r="C25" s="434" t="s">
        <v>123</v>
      </c>
      <c r="D25" s="366">
        <v>15</v>
      </c>
      <c r="E25" s="368" t="s">
        <v>18</v>
      </c>
      <c r="F25" s="366">
        <v>1199.75</v>
      </c>
    </row>
    <row r="26" spans="1:6" ht="14" customHeight="1">
      <c r="A26" s="429">
        <v>43910</v>
      </c>
      <c r="B26" s="428" t="s">
        <v>124</v>
      </c>
      <c r="C26" s="434" t="s">
        <v>147</v>
      </c>
      <c r="D26" s="368" t="s">
        <v>18</v>
      </c>
      <c r="E26" s="366">
        <v>837.9</v>
      </c>
      <c r="F26" s="366">
        <v>1184.75</v>
      </c>
    </row>
    <row r="27" spans="1:6" ht="14" customHeight="1">
      <c r="A27" s="429">
        <v>43906</v>
      </c>
      <c r="B27" s="428" t="s">
        <v>124</v>
      </c>
      <c r="C27" s="434" t="s">
        <v>231</v>
      </c>
      <c r="D27" s="368" t="s">
        <v>18</v>
      </c>
      <c r="E27" s="366">
        <v>1170</v>
      </c>
      <c r="F27" s="366">
        <v>2022.65</v>
      </c>
    </row>
    <row r="28" spans="1:6" ht="14" customHeight="1">
      <c r="A28" s="429">
        <v>43906</v>
      </c>
      <c r="B28" s="428" t="s">
        <v>124</v>
      </c>
      <c r="C28" s="434" t="s">
        <v>134</v>
      </c>
      <c r="D28" s="366">
        <v>1000</v>
      </c>
      <c r="E28" s="368" t="s">
        <v>18</v>
      </c>
      <c r="F28" s="366">
        <v>3192.65</v>
      </c>
    </row>
    <row r="29" spans="1:6" ht="14" customHeight="1">
      <c r="A29" s="429">
        <v>43901</v>
      </c>
      <c r="B29" s="428" t="s">
        <v>122</v>
      </c>
      <c r="C29" s="434" t="s">
        <v>205</v>
      </c>
      <c r="D29" s="366">
        <v>17.68</v>
      </c>
      <c r="E29" s="368" t="s">
        <v>18</v>
      </c>
      <c r="F29" s="366">
        <v>2192.65</v>
      </c>
    </row>
    <row r="30" spans="1:6" ht="14" customHeight="1">
      <c r="A30" s="429">
        <v>43900</v>
      </c>
      <c r="B30" s="428" t="s">
        <v>122</v>
      </c>
      <c r="C30" s="434" t="s">
        <v>123</v>
      </c>
      <c r="D30" s="366">
        <v>134.41</v>
      </c>
      <c r="E30" s="368" t="s">
        <v>18</v>
      </c>
      <c r="F30" s="366">
        <v>2174.9699999999998</v>
      </c>
    </row>
    <row r="31" spans="1:6" ht="14" customHeight="1">
      <c r="A31" s="429">
        <v>43900</v>
      </c>
      <c r="B31" s="428" t="s">
        <v>122</v>
      </c>
      <c r="C31" s="434" t="s">
        <v>123</v>
      </c>
      <c r="D31" s="366">
        <v>16.5</v>
      </c>
      <c r="E31" s="368" t="s">
        <v>18</v>
      </c>
      <c r="F31" s="366">
        <v>2040.56</v>
      </c>
    </row>
    <row r="32" spans="1:6" ht="14" customHeight="1">
      <c r="A32" s="429">
        <v>43896</v>
      </c>
      <c r="B32" s="428" t="s">
        <v>124</v>
      </c>
      <c r="C32" s="434" t="s">
        <v>232</v>
      </c>
      <c r="D32" s="368" t="s">
        <v>18</v>
      </c>
      <c r="E32" s="366">
        <v>35</v>
      </c>
      <c r="F32" s="366">
        <v>2024.06</v>
      </c>
    </row>
    <row r="33" spans="1:6" ht="14" customHeight="1">
      <c r="A33" s="429">
        <v>43896</v>
      </c>
      <c r="B33" s="428" t="s">
        <v>124</v>
      </c>
      <c r="C33" s="434" t="s">
        <v>233</v>
      </c>
      <c r="D33" s="368" t="s">
        <v>18</v>
      </c>
      <c r="E33" s="366">
        <v>1710</v>
      </c>
      <c r="F33" s="366">
        <v>2059.06</v>
      </c>
    </row>
    <row r="34" spans="1:6" ht="14" customHeight="1">
      <c r="A34" s="429">
        <v>43896</v>
      </c>
      <c r="B34" s="428" t="s">
        <v>124</v>
      </c>
      <c r="C34" s="434" t="s">
        <v>134</v>
      </c>
      <c r="D34" s="366">
        <v>1800</v>
      </c>
      <c r="E34" s="368" t="s">
        <v>18</v>
      </c>
      <c r="F34" s="366">
        <v>3769.06</v>
      </c>
    </row>
    <row r="35" spans="1:6" ht="14" customHeight="1">
      <c r="A35" s="429">
        <v>43895</v>
      </c>
      <c r="B35" s="428" t="s">
        <v>149</v>
      </c>
      <c r="C35" s="434" t="s">
        <v>150</v>
      </c>
      <c r="D35" s="368" t="s">
        <v>18</v>
      </c>
      <c r="E35" s="366">
        <v>75</v>
      </c>
      <c r="F35" s="366">
        <v>1969.06</v>
      </c>
    </row>
    <row r="36" spans="1:6" ht="14" customHeight="1">
      <c r="A36" s="429">
        <v>43887</v>
      </c>
      <c r="B36" s="428" t="s">
        <v>132</v>
      </c>
      <c r="C36" s="434" t="s">
        <v>206</v>
      </c>
      <c r="D36" s="366">
        <v>385</v>
      </c>
      <c r="E36" s="368" t="s">
        <v>18</v>
      </c>
      <c r="F36" s="366">
        <v>2044.06</v>
      </c>
    </row>
    <row r="37" spans="1:6" ht="14" customHeight="1">
      <c r="A37" s="429">
        <v>43886</v>
      </c>
      <c r="B37" s="428" t="s">
        <v>149</v>
      </c>
      <c r="C37" s="434" t="s">
        <v>150</v>
      </c>
      <c r="D37" s="368" t="s">
        <v>18</v>
      </c>
      <c r="E37" s="366">
        <v>75</v>
      </c>
      <c r="F37" s="366">
        <v>1659.06</v>
      </c>
    </row>
    <row r="38" spans="1:6" ht="14" customHeight="1">
      <c r="A38" s="429">
        <v>43886</v>
      </c>
      <c r="B38" s="428" t="s">
        <v>124</v>
      </c>
      <c r="C38" s="434" t="s">
        <v>181</v>
      </c>
      <c r="D38" s="368" t="s">
        <v>18</v>
      </c>
      <c r="E38" s="366">
        <v>279.44</v>
      </c>
      <c r="F38" s="366">
        <v>1734.06</v>
      </c>
    </row>
    <row r="39" spans="1:6" ht="14" customHeight="1">
      <c r="A39" s="429">
        <v>43885</v>
      </c>
      <c r="B39" s="428" t="s">
        <v>124</v>
      </c>
      <c r="C39" s="434" t="s">
        <v>235</v>
      </c>
      <c r="D39" s="368" t="s">
        <v>18</v>
      </c>
      <c r="E39" s="366">
        <v>46.38</v>
      </c>
      <c r="F39" s="366">
        <v>2013.5</v>
      </c>
    </row>
    <row r="40" spans="1:6" ht="14" customHeight="1">
      <c r="A40" s="429">
        <v>43885</v>
      </c>
      <c r="B40" s="428" t="s">
        <v>124</v>
      </c>
      <c r="C40" s="434" t="s">
        <v>134</v>
      </c>
      <c r="D40" s="366">
        <v>500</v>
      </c>
      <c r="E40" s="368" t="s">
        <v>18</v>
      </c>
      <c r="F40" s="366">
        <v>2059.88</v>
      </c>
    </row>
    <row r="41" spans="1:6" ht="14" customHeight="1">
      <c r="A41" s="429">
        <v>43881</v>
      </c>
      <c r="B41" s="428" t="s">
        <v>124</v>
      </c>
      <c r="C41" s="434" t="s">
        <v>236</v>
      </c>
      <c r="D41" s="368" t="s">
        <v>18</v>
      </c>
      <c r="E41" s="366">
        <v>448</v>
      </c>
      <c r="F41" s="366">
        <v>1559.88</v>
      </c>
    </row>
    <row r="42" spans="1:6" ht="14" customHeight="1">
      <c r="A42" s="429">
        <v>43871</v>
      </c>
      <c r="B42" s="428" t="s">
        <v>124</v>
      </c>
      <c r="C42" s="434" t="s">
        <v>232</v>
      </c>
      <c r="D42" s="368" t="s">
        <v>18</v>
      </c>
      <c r="E42" s="366">
        <v>92.8</v>
      </c>
      <c r="F42" s="366">
        <v>2007.88</v>
      </c>
    </row>
    <row r="43" spans="1:6" ht="14" customHeight="1">
      <c r="A43" s="429">
        <v>43871</v>
      </c>
      <c r="B43" s="428" t="s">
        <v>124</v>
      </c>
      <c r="C43" s="434" t="s">
        <v>134</v>
      </c>
      <c r="D43" s="366">
        <v>800</v>
      </c>
      <c r="E43" s="368" t="s">
        <v>18</v>
      </c>
      <c r="F43" s="366">
        <v>2100.6799999999998</v>
      </c>
    </row>
    <row r="44" spans="1:6" ht="14" customHeight="1">
      <c r="A44" s="429">
        <v>43864</v>
      </c>
      <c r="B44" s="428" t="s">
        <v>149</v>
      </c>
      <c r="C44" s="434" t="s">
        <v>150</v>
      </c>
      <c r="D44" s="368" t="s">
        <v>18</v>
      </c>
      <c r="E44" s="366">
        <v>75</v>
      </c>
      <c r="F44" s="366">
        <v>1300.68</v>
      </c>
    </row>
    <row r="45" spans="1:6" ht="14" customHeight="1">
      <c r="A45" s="429">
        <v>43858</v>
      </c>
      <c r="B45" s="428" t="s">
        <v>122</v>
      </c>
      <c r="C45" s="434" t="s">
        <v>123</v>
      </c>
      <c r="D45" s="366">
        <v>80.84</v>
      </c>
      <c r="E45" s="368" t="s">
        <v>18</v>
      </c>
      <c r="F45" s="366">
        <v>1375.68</v>
      </c>
    </row>
    <row r="46" spans="1:6" ht="14" customHeight="1">
      <c r="A46" s="429">
        <v>43838</v>
      </c>
      <c r="B46" s="428" t="s">
        <v>132</v>
      </c>
      <c r="C46" s="434" t="s">
        <v>133</v>
      </c>
      <c r="D46" s="366">
        <v>31.5</v>
      </c>
      <c r="E46" s="368" t="s">
        <v>18</v>
      </c>
      <c r="F46" s="366">
        <v>1294.8399999999999</v>
      </c>
    </row>
    <row r="47" spans="1:6" ht="14" customHeight="1">
      <c r="A47" s="429">
        <v>43832</v>
      </c>
      <c r="B47" s="428" t="s">
        <v>149</v>
      </c>
      <c r="C47" s="434" t="s">
        <v>150</v>
      </c>
      <c r="D47" s="368" t="s">
        <v>18</v>
      </c>
      <c r="E47" s="366">
        <v>75</v>
      </c>
      <c r="F47" s="366">
        <v>1263.3399999999999</v>
      </c>
    </row>
    <row r="48" spans="1:6" ht="14" customHeight="1">
      <c r="A48" s="429">
        <v>43832</v>
      </c>
      <c r="B48" s="428" t="s">
        <v>149</v>
      </c>
      <c r="C48" s="434" t="s">
        <v>165</v>
      </c>
      <c r="D48" s="368" t="s">
        <v>18</v>
      </c>
      <c r="E48" s="366">
        <v>50</v>
      </c>
      <c r="F48" s="366">
        <v>1338.34</v>
      </c>
    </row>
    <row r="49" spans="1:6" ht="14" customHeight="1">
      <c r="A49" s="429">
        <v>43832</v>
      </c>
      <c r="B49" s="428" t="s">
        <v>122</v>
      </c>
      <c r="C49" s="434" t="s">
        <v>123</v>
      </c>
      <c r="D49" s="366">
        <v>30.5</v>
      </c>
      <c r="E49" s="368" t="s">
        <v>18</v>
      </c>
      <c r="F49" s="366">
        <v>1388.34</v>
      </c>
    </row>
    <row r="50" spans="1:6" ht="14" customHeight="1">
      <c r="A50" s="429">
        <v>43817</v>
      </c>
      <c r="B50" s="428" t="s">
        <v>124</v>
      </c>
      <c r="C50" s="434" t="s">
        <v>238</v>
      </c>
      <c r="D50" s="368" t="s">
        <v>18</v>
      </c>
      <c r="E50" s="366">
        <v>109.18</v>
      </c>
      <c r="F50" s="366">
        <v>1357.84</v>
      </c>
    </row>
    <row r="51" spans="1:6" ht="14" customHeight="1">
      <c r="A51" s="429">
        <v>43817</v>
      </c>
      <c r="B51" s="428" t="s">
        <v>124</v>
      </c>
      <c r="C51" s="434" t="s">
        <v>232</v>
      </c>
      <c r="D51" s="368" t="s">
        <v>18</v>
      </c>
      <c r="E51" s="366">
        <v>437.6</v>
      </c>
      <c r="F51" s="366">
        <v>1467.02</v>
      </c>
    </row>
    <row r="52" spans="1:6" ht="14" customHeight="1">
      <c r="A52" s="429">
        <v>43817</v>
      </c>
      <c r="B52" s="428" t="s">
        <v>124</v>
      </c>
      <c r="C52" s="434" t="s">
        <v>162</v>
      </c>
      <c r="D52" s="368" t="s">
        <v>18</v>
      </c>
      <c r="E52" s="366">
        <v>53.97</v>
      </c>
      <c r="F52" s="366">
        <v>1904.62</v>
      </c>
    </row>
    <row r="53" spans="1:6" ht="14" customHeight="1">
      <c r="A53" s="429">
        <v>43817</v>
      </c>
      <c r="B53" s="428" t="s">
        <v>132</v>
      </c>
      <c r="C53" s="434" t="s">
        <v>133</v>
      </c>
      <c r="D53" s="366">
        <v>12</v>
      </c>
      <c r="E53" s="368" t="s">
        <v>18</v>
      </c>
      <c r="F53" s="366">
        <v>1958.59</v>
      </c>
    </row>
    <row r="54" spans="1:6" ht="14" customHeight="1">
      <c r="A54" s="429">
        <v>43812</v>
      </c>
      <c r="B54" s="428" t="s">
        <v>122</v>
      </c>
      <c r="C54" s="434" t="s">
        <v>209</v>
      </c>
      <c r="D54" s="366">
        <v>12</v>
      </c>
      <c r="E54" s="368" t="s">
        <v>18</v>
      </c>
      <c r="F54" s="366">
        <v>1946.59</v>
      </c>
    </row>
    <row r="55" spans="1:6" ht="14" customHeight="1">
      <c r="A55" s="429">
        <v>43809</v>
      </c>
      <c r="B55" s="428" t="s">
        <v>122</v>
      </c>
      <c r="C55" s="434" t="s">
        <v>127</v>
      </c>
      <c r="D55" s="366">
        <v>50</v>
      </c>
      <c r="E55" s="368" t="s">
        <v>18</v>
      </c>
      <c r="F55" s="366">
        <v>1934.59</v>
      </c>
    </row>
    <row r="56" spans="1:6" ht="14" customHeight="1">
      <c r="A56" s="429">
        <v>43804</v>
      </c>
      <c r="B56" s="428" t="s">
        <v>124</v>
      </c>
      <c r="C56" s="434" t="s">
        <v>232</v>
      </c>
      <c r="D56" s="368" t="s">
        <v>18</v>
      </c>
      <c r="E56" s="366">
        <v>168.7</v>
      </c>
      <c r="F56" s="366">
        <v>1884.59</v>
      </c>
    </row>
    <row r="57" spans="1:6" ht="14" customHeight="1">
      <c r="A57" s="429">
        <v>43803</v>
      </c>
      <c r="B57" s="428" t="s">
        <v>124</v>
      </c>
      <c r="C57" s="434" t="s">
        <v>241</v>
      </c>
      <c r="D57" s="368" t="s">
        <v>18</v>
      </c>
      <c r="E57" s="366">
        <v>75</v>
      </c>
      <c r="F57" s="366">
        <v>2053.29</v>
      </c>
    </row>
    <row r="58" spans="1:6" ht="14" customHeight="1">
      <c r="A58" s="429">
        <v>43802</v>
      </c>
      <c r="B58" s="428" t="s">
        <v>122</v>
      </c>
      <c r="C58" s="434" t="s">
        <v>123</v>
      </c>
      <c r="D58" s="366">
        <v>64</v>
      </c>
      <c r="E58" s="368" t="s">
        <v>18</v>
      </c>
      <c r="F58" s="366">
        <v>2128.29</v>
      </c>
    </row>
    <row r="59" spans="1:6" ht="14" customHeight="1">
      <c r="A59" s="429">
        <v>43802</v>
      </c>
      <c r="B59" s="428" t="s">
        <v>122</v>
      </c>
      <c r="C59" s="434" t="s">
        <v>123</v>
      </c>
      <c r="D59" s="366">
        <v>42</v>
      </c>
      <c r="E59" s="368" t="s">
        <v>18</v>
      </c>
      <c r="F59" s="366">
        <v>2064.29</v>
      </c>
    </row>
    <row r="60" spans="1:6" ht="14" customHeight="1">
      <c r="A60" s="429">
        <v>43802</v>
      </c>
      <c r="B60" s="428" t="s">
        <v>122</v>
      </c>
      <c r="C60" s="434" t="s">
        <v>123</v>
      </c>
      <c r="D60" s="366">
        <v>36</v>
      </c>
      <c r="E60" s="368" t="s">
        <v>18</v>
      </c>
      <c r="F60" s="366">
        <v>2022.29</v>
      </c>
    </row>
    <row r="61" spans="1:6" ht="14" customHeight="1">
      <c r="A61" s="429">
        <v>43801</v>
      </c>
      <c r="B61" s="428" t="s">
        <v>149</v>
      </c>
      <c r="C61" s="434" t="s">
        <v>150</v>
      </c>
      <c r="D61" s="368" t="s">
        <v>18</v>
      </c>
      <c r="E61" s="366">
        <v>75</v>
      </c>
      <c r="F61" s="366">
        <v>1986.29</v>
      </c>
    </row>
    <row r="62" spans="1:6" ht="14" customHeight="1">
      <c r="A62" s="429">
        <v>43796</v>
      </c>
      <c r="B62" s="428" t="s">
        <v>124</v>
      </c>
      <c r="C62" s="434" t="s">
        <v>157</v>
      </c>
      <c r="D62" s="368" t="s">
        <v>18</v>
      </c>
      <c r="E62" s="366">
        <v>154.9</v>
      </c>
      <c r="F62" s="366">
        <v>2061.29</v>
      </c>
    </row>
    <row r="63" spans="1:6" ht="14" customHeight="1">
      <c r="A63" s="429">
        <v>43796</v>
      </c>
      <c r="B63" s="428" t="s">
        <v>124</v>
      </c>
      <c r="C63" s="434" t="s">
        <v>134</v>
      </c>
      <c r="D63" s="366">
        <v>800</v>
      </c>
      <c r="E63" s="368" t="s">
        <v>18</v>
      </c>
      <c r="F63" s="366">
        <v>2216.19</v>
      </c>
    </row>
    <row r="64" spans="1:6" ht="14" customHeight="1">
      <c r="A64" s="429">
        <v>43787</v>
      </c>
      <c r="B64" s="428" t="s">
        <v>124</v>
      </c>
      <c r="C64" s="434" t="s">
        <v>147</v>
      </c>
      <c r="D64" s="368" t="s">
        <v>18</v>
      </c>
      <c r="E64" s="366">
        <v>829.8</v>
      </c>
      <c r="F64" s="366">
        <v>1416.19</v>
      </c>
    </row>
    <row r="65" spans="1:6" ht="14" customHeight="1">
      <c r="A65" s="429">
        <v>43774</v>
      </c>
      <c r="B65" s="428" t="s">
        <v>122</v>
      </c>
      <c r="C65" s="434" t="s">
        <v>123</v>
      </c>
      <c r="D65" s="366">
        <v>58</v>
      </c>
      <c r="E65" s="368" t="s">
        <v>18</v>
      </c>
      <c r="F65" s="366">
        <v>2245.9899999999998</v>
      </c>
    </row>
    <row r="66" spans="1:6" ht="14" customHeight="1">
      <c r="A66" s="429">
        <v>43774</v>
      </c>
      <c r="B66" s="428" t="s">
        <v>122</v>
      </c>
      <c r="C66" s="434" t="s">
        <v>123</v>
      </c>
      <c r="D66" s="366">
        <v>248</v>
      </c>
      <c r="E66" s="368" t="s">
        <v>18</v>
      </c>
      <c r="F66" s="366">
        <v>2187.9899999999998</v>
      </c>
    </row>
    <row r="67" spans="1:6" ht="14" customHeight="1">
      <c r="A67" s="429">
        <v>43773</v>
      </c>
      <c r="B67" s="428" t="s">
        <v>122</v>
      </c>
      <c r="C67" s="434" t="s">
        <v>205</v>
      </c>
      <c r="D67" s="366">
        <v>17.68</v>
      </c>
      <c r="E67" s="368" t="s">
        <v>18</v>
      </c>
      <c r="F67" s="366">
        <v>1939.99</v>
      </c>
    </row>
    <row r="68" spans="1:6" ht="14" customHeight="1">
      <c r="A68" s="429">
        <v>43770</v>
      </c>
      <c r="B68" s="428" t="s">
        <v>149</v>
      </c>
      <c r="C68" s="434" t="s">
        <v>150</v>
      </c>
      <c r="D68" s="368" t="s">
        <v>18</v>
      </c>
      <c r="E68" s="366">
        <v>75</v>
      </c>
      <c r="F68" s="366">
        <v>1922.31</v>
      </c>
    </row>
    <row r="69" spans="1:6" ht="14" customHeight="1">
      <c r="A69" s="429">
        <v>43762</v>
      </c>
      <c r="B69" s="428" t="s">
        <v>122</v>
      </c>
      <c r="C69" s="434" t="s">
        <v>205</v>
      </c>
      <c r="D69" s="366">
        <v>9.82</v>
      </c>
      <c r="E69" s="368" t="s">
        <v>18</v>
      </c>
      <c r="F69" s="366">
        <v>1997.31</v>
      </c>
    </row>
    <row r="70" spans="1:6" ht="14" customHeight="1">
      <c r="A70" s="429">
        <v>43756</v>
      </c>
      <c r="B70" s="428" t="s">
        <v>122</v>
      </c>
      <c r="C70" s="434" t="s">
        <v>205</v>
      </c>
      <c r="D70" s="366">
        <v>17.68</v>
      </c>
      <c r="E70" s="368" t="s">
        <v>18</v>
      </c>
      <c r="F70" s="366">
        <v>1987.49</v>
      </c>
    </row>
    <row r="71" spans="1:6" ht="14" customHeight="1">
      <c r="A71" s="429">
        <v>43747</v>
      </c>
      <c r="B71" s="428" t="s">
        <v>124</v>
      </c>
      <c r="C71" s="434" t="s">
        <v>244</v>
      </c>
      <c r="D71" s="368" t="s">
        <v>18</v>
      </c>
      <c r="E71" s="366">
        <v>6.3</v>
      </c>
      <c r="F71" s="366">
        <v>1969.81</v>
      </c>
    </row>
    <row r="72" spans="1:6" ht="14" customHeight="1">
      <c r="A72" s="429">
        <v>43739</v>
      </c>
      <c r="B72" s="428" t="s">
        <v>149</v>
      </c>
      <c r="C72" s="434" t="s">
        <v>165</v>
      </c>
      <c r="D72" s="368" t="s">
        <v>18</v>
      </c>
      <c r="E72" s="366">
        <v>50</v>
      </c>
      <c r="F72" s="366">
        <v>1976.11</v>
      </c>
    </row>
    <row r="73" spans="1:6" ht="14" customHeight="1">
      <c r="A73" s="429">
        <v>43739</v>
      </c>
      <c r="B73" s="428" t="s">
        <v>149</v>
      </c>
      <c r="C73" s="434" t="s">
        <v>150</v>
      </c>
      <c r="D73" s="368" t="s">
        <v>18</v>
      </c>
      <c r="E73" s="366">
        <v>75</v>
      </c>
      <c r="F73" s="366">
        <v>2026.11</v>
      </c>
    </row>
    <row r="74" spans="1:6" ht="14" customHeight="1">
      <c r="A74" s="429">
        <v>43728</v>
      </c>
      <c r="B74" s="428" t="s">
        <v>124</v>
      </c>
      <c r="C74" s="434" t="s">
        <v>147</v>
      </c>
      <c r="D74" s="368" t="s">
        <v>18</v>
      </c>
      <c r="E74" s="366">
        <v>53.1</v>
      </c>
      <c r="F74" s="366">
        <v>2101.11</v>
      </c>
    </row>
    <row r="75" spans="1:6" ht="14" customHeight="1">
      <c r="A75" s="429">
        <v>43727</v>
      </c>
      <c r="B75" s="428" t="s">
        <v>124</v>
      </c>
      <c r="C75" s="434" t="s">
        <v>245</v>
      </c>
      <c r="D75" s="368" t="s">
        <v>18</v>
      </c>
      <c r="E75" s="366">
        <v>250</v>
      </c>
      <c r="F75" s="366">
        <v>2154.21</v>
      </c>
    </row>
    <row r="76" spans="1:6" ht="14" customHeight="1">
      <c r="A76" s="429">
        <v>43719</v>
      </c>
      <c r="B76" s="428" t="s">
        <v>246</v>
      </c>
      <c r="C76" s="434" t="s">
        <v>247</v>
      </c>
      <c r="D76" s="368" t="s">
        <v>18</v>
      </c>
      <c r="E76" s="366">
        <v>153.75</v>
      </c>
      <c r="F76" s="366">
        <v>2404.21</v>
      </c>
    </row>
    <row r="77" spans="1:6" ht="14" customHeight="1">
      <c r="A77" s="429">
        <v>43718</v>
      </c>
      <c r="B77" s="428" t="s">
        <v>122</v>
      </c>
      <c r="C77" s="434" t="s">
        <v>205</v>
      </c>
      <c r="D77" s="366">
        <v>11.79</v>
      </c>
      <c r="E77" s="368" t="s">
        <v>18</v>
      </c>
      <c r="F77" s="366">
        <v>2557.96</v>
      </c>
    </row>
    <row r="78" spans="1:6" ht="14" customHeight="1">
      <c r="A78" s="429">
        <v>43712</v>
      </c>
      <c r="B78" s="428" t="s">
        <v>122</v>
      </c>
      <c r="C78" s="434" t="s">
        <v>205</v>
      </c>
      <c r="D78" s="366">
        <v>9.82</v>
      </c>
      <c r="E78" s="368" t="s">
        <v>18</v>
      </c>
      <c r="F78" s="366">
        <v>2546.17</v>
      </c>
    </row>
    <row r="79" spans="1:6" ht="14" customHeight="1">
      <c r="A79" s="429">
        <v>43712</v>
      </c>
      <c r="B79" s="428" t="s">
        <v>124</v>
      </c>
      <c r="C79" s="434" t="s">
        <v>211</v>
      </c>
      <c r="D79" s="366">
        <v>54</v>
      </c>
      <c r="E79" s="368" t="s">
        <v>18</v>
      </c>
      <c r="F79" s="366">
        <v>2536.35</v>
      </c>
    </row>
    <row r="80" spans="1:6" ht="14" customHeight="1">
      <c r="A80" s="429">
        <v>43710</v>
      </c>
      <c r="B80" s="428" t="s">
        <v>149</v>
      </c>
      <c r="C80" s="434" t="s">
        <v>150</v>
      </c>
      <c r="D80" s="368" t="s">
        <v>18</v>
      </c>
      <c r="E80" s="366">
        <v>75</v>
      </c>
      <c r="F80" s="366">
        <v>2482.35</v>
      </c>
    </row>
    <row r="81" spans="1:6" ht="14" customHeight="1">
      <c r="A81" s="429">
        <v>43710</v>
      </c>
      <c r="B81" s="428" t="s">
        <v>122</v>
      </c>
      <c r="C81" s="434" t="s">
        <v>123</v>
      </c>
      <c r="D81" s="366">
        <v>280</v>
      </c>
      <c r="E81" s="368" t="s">
        <v>18</v>
      </c>
      <c r="F81" s="366">
        <v>2557.35</v>
      </c>
    </row>
    <row r="82" spans="1:6" ht="14" customHeight="1">
      <c r="A82" s="429">
        <v>43699</v>
      </c>
      <c r="B82" s="428" t="s">
        <v>124</v>
      </c>
      <c r="C82" s="434" t="s">
        <v>147</v>
      </c>
      <c r="D82" s="368" t="s">
        <v>18</v>
      </c>
      <c r="E82" s="366">
        <v>144</v>
      </c>
      <c r="F82" s="366">
        <v>2277.35</v>
      </c>
    </row>
    <row r="83" spans="1:6" ht="14" customHeight="1">
      <c r="A83" s="429">
        <v>43699</v>
      </c>
      <c r="B83" s="428" t="s">
        <v>124</v>
      </c>
      <c r="C83" s="434" t="s">
        <v>147</v>
      </c>
      <c r="D83" s="368" t="s">
        <v>18</v>
      </c>
      <c r="E83" s="366">
        <v>84.15</v>
      </c>
      <c r="F83" s="366">
        <v>2421.35</v>
      </c>
    </row>
    <row r="84" spans="1:6" ht="14" customHeight="1">
      <c r="A84" s="429">
        <v>43699</v>
      </c>
      <c r="B84" s="428" t="s">
        <v>124</v>
      </c>
      <c r="C84" s="434" t="s">
        <v>250</v>
      </c>
      <c r="D84" s="368" t="s">
        <v>18</v>
      </c>
      <c r="E84" s="366">
        <v>6000</v>
      </c>
      <c r="F84" s="366">
        <v>2505.5</v>
      </c>
    </row>
    <row r="85" spans="1:6" ht="14" customHeight="1">
      <c r="A85" s="429">
        <v>43691</v>
      </c>
      <c r="B85" s="428" t="s">
        <v>122</v>
      </c>
      <c r="C85" s="434" t="s">
        <v>128</v>
      </c>
      <c r="D85" s="366">
        <v>6000</v>
      </c>
      <c r="E85" s="368" t="s">
        <v>18</v>
      </c>
      <c r="F85" s="366">
        <v>8505.5</v>
      </c>
    </row>
    <row r="86" spans="1:6" ht="14" customHeight="1">
      <c r="A86" s="429">
        <v>43690</v>
      </c>
      <c r="B86" s="428" t="s">
        <v>122</v>
      </c>
      <c r="C86" s="434" t="s">
        <v>123</v>
      </c>
      <c r="D86" s="366">
        <v>43.34</v>
      </c>
      <c r="E86" s="368" t="s">
        <v>18</v>
      </c>
      <c r="F86" s="366">
        <v>2505.5</v>
      </c>
    </row>
    <row r="87" spans="1:6" ht="14" customHeight="1">
      <c r="A87" s="429">
        <v>43690</v>
      </c>
      <c r="B87" s="428" t="s">
        <v>122</v>
      </c>
      <c r="C87" s="434" t="s">
        <v>123</v>
      </c>
      <c r="D87" s="366">
        <v>127</v>
      </c>
      <c r="E87" s="368" t="s">
        <v>18</v>
      </c>
      <c r="F87" s="366">
        <v>2462.16</v>
      </c>
    </row>
    <row r="88" spans="1:6" ht="14" customHeight="1">
      <c r="A88" s="429">
        <v>43690</v>
      </c>
      <c r="B88" s="428" t="s">
        <v>122</v>
      </c>
      <c r="C88" s="434" t="s">
        <v>123</v>
      </c>
      <c r="D88" s="366">
        <v>6</v>
      </c>
      <c r="E88" s="368" t="s">
        <v>18</v>
      </c>
      <c r="F88" s="366">
        <v>2335.16</v>
      </c>
    </row>
    <row r="89" spans="1:6" ht="14" customHeight="1">
      <c r="A89" s="429">
        <v>43684</v>
      </c>
      <c r="B89" s="428" t="s">
        <v>124</v>
      </c>
      <c r="C89" s="434" t="s">
        <v>232</v>
      </c>
      <c r="D89" s="368" t="s">
        <v>18</v>
      </c>
      <c r="E89" s="366">
        <v>200</v>
      </c>
      <c r="F89" s="366">
        <v>2329.16</v>
      </c>
    </row>
    <row r="90" spans="1:6" ht="14" customHeight="1">
      <c r="A90" s="429">
        <v>43678</v>
      </c>
      <c r="B90" s="428" t="s">
        <v>149</v>
      </c>
      <c r="C90" s="434" t="s">
        <v>150</v>
      </c>
      <c r="D90" s="368" t="s">
        <v>18</v>
      </c>
      <c r="E90" s="366">
        <v>75</v>
      </c>
      <c r="F90" s="366">
        <v>2529.16</v>
      </c>
    </row>
    <row r="91" spans="1:6" ht="14" customHeight="1">
      <c r="A91" s="429">
        <v>43677</v>
      </c>
      <c r="B91" s="428" t="s">
        <v>122</v>
      </c>
      <c r="C91" s="434" t="s">
        <v>205</v>
      </c>
      <c r="D91" s="366">
        <v>39.29</v>
      </c>
      <c r="E91" s="368" t="s">
        <v>18</v>
      </c>
      <c r="F91" s="366">
        <v>2604.16</v>
      </c>
    </row>
    <row r="92" spans="1:6" ht="14" customHeight="1">
      <c r="A92" s="429">
        <v>43669</v>
      </c>
      <c r="B92" s="428" t="s">
        <v>122</v>
      </c>
      <c r="C92" s="434" t="s">
        <v>213</v>
      </c>
      <c r="D92" s="366">
        <v>65</v>
      </c>
      <c r="E92" s="368" t="s">
        <v>18</v>
      </c>
      <c r="F92" s="366">
        <v>2564.87</v>
      </c>
    </row>
    <row r="93" spans="1:6" ht="14" customHeight="1">
      <c r="A93" s="429">
        <v>43668</v>
      </c>
      <c r="B93" s="428" t="s">
        <v>122</v>
      </c>
      <c r="C93" s="434" t="s">
        <v>123</v>
      </c>
      <c r="D93" s="366">
        <v>93</v>
      </c>
      <c r="E93" s="368" t="s">
        <v>18</v>
      </c>
      <c r="F93" s="366">
        <v>2499.87</v>
      </c>
    </row>
    <row r="94" spans="1:6" ht="14" customHeight="1">
      <c r="A94" s="429">
        <v>43668</v>
      </c>
      <c r="B94" s="428" t="s">
        <v>122</v>
      </c>
      <c r="C94" s="434" t="s">
        <v>123</v>
      </c>
      <c r="D94" s="366">
        <v>64</v>
      </c>
      <c r="E94" s="368" t="s">
        <v>18</v>
      </c>
      <c r="F94" s="366">
        <v>2406.87</v>
      </c>
    </row>
    <row r="95" spans="1:6" ht="14" customHeight="1">
      <c r="A95" s="429">
        <v>43647</v>
      </c>
      <c r="B95" s="428" t="s">
        <v>149</v>
      </c>
      <c r="C95" s="434" t="s">
        <v>150</v>
      </c>
      <c r="D95" s="368" t="s">
        <v>18</v>
      </c>
      <c r="E95" s="366">
        <v>75</v>
      </c>
      <c r="F95" s="366">
        <v>2342.87</v>
      </c>
    </row>
    <row r="96" spans="1:6" ht="14" customHeight="1">
      <c r="A96" s="429">
        <v>43647</v>
      </c>
      <c r="B96" s="428" t="s">
        <v>149</v>
      </c>
      <c r="C96" s="434" t="s">
        <v>165</v>
      </c>
      <c r="D96" s="368" t="s">
        <v>18</v>
      </c>
      <c r="E96" s="366">
        <v>50</v>
      </c>
      <c r="F96" s="366">
        <v>2417.87</v>
      </c>
    </row>
    <row r="97" spans="1:6" ht="14" customHeight="1">
      <c r="A97" s="429">
        <v>43644</v>
      </c>
      <c r="B97" s="428" t="s">
        <v>122</v>
      </c>
      <c r="C97" s="434" t="s">
        <v>215</v>
      </c>
      <c r="D97" s="366">
        <v>77</v>
      </c>
      <c r="E97" s="368" t="s">
        <v>18</v>
      </c>
      <c r="F97" s="366">
        <v>2467.87</v>
      </c>
    </row>
    <row r="98" spans="1:6" ht="14" customHeight="1">
      <c r="A98" s="429">
        <v>43642</v>
      </c>
      <c r="B98" s="428" t="s">
        <v>124</v>
      </c>
      <c r="C98" s="434" t="s">
        <v>252</v>
      </c>
      <c r="D98" s="368" t="s">
        <v>18</v>
      </c>
      <c r="E98" s="366">
        <v>206.37</v>
      </c>
      <c r="F98" s="366">
        <v>2390.87</v>
      </c>
    </row>
    <row r="99" spans="1:6" ht="14" customHeight="1">
      <c r="A99" s="429">
        <v>43642</v>
      </c>
      <c r="B99" s="428" t="s">
        <v>124</v>
      </c>
      <c r="C99" s="434" t="s">
        <v>253</v>
      </c>
      <c r="D99" s="368" t="s">
        <v>18</v>
      </c>
      <c r="E99" s="366">
        <v>150</v>
      </c>
      <c r="F99" s="366">
        <v>2597.2399999999998</v>
      </c>
    </row>
    <row r="100" spans="1:6" ht="14" customHeight="1">
      <c r="A100" s="429">
        <v>43640</v>
      </c>
      <c r="B100" s="428" t="s">
        <v>124</v>
      </c>
      <c r="C100" s="434" t="s">
        <v>254</v>
      </c>
      <c r="D100" s="368" t="s">
        <v>18</v>
      </c>
      <c r="E100" s="366">
        <v>231.35</v>
      </c>
      <c r="F100" s="366">
        <v>2747.24</v>
      </c>
    </row>
    <row r="101" spans="1:6" ht="14" customHeight="1">
      <c r="A101" s="429">
        <v>43640</v>
      </c>
      <c r="B101" s="428" t="s">
        <v>122</v>
      </c>
      <c r="C101" s="434" t="s">
        <v>216</v>
      </c>
      <c r="D101" s="366">
        <v>65</v>
      </c>
      <c r="E101" s="368" t="s">
        <v>18</v>
      </c>
      <c r="F101" s="366">
        <v>2978.59</v>
      </c>
    </row>
    <row r="102" spans="1:6" ht="14" customHeight="1">
      <c r="A102" s="429">
        <v>43630</v>
      </c>
      <c r="B102" s="428" t="s">
        <v>124</v>
      </c>
      <c r="C102" s="434" t="s">
        <v>255</v>
      </c>
      <c r="D102" s="368" t="s">
        <v>18</v>
      </c>
      <c r="E102" s="366">
        <v>500</v>
      </c>
      <c r="F102" s="366">
        <v>2913.59</v>
      </c>
    </row>
    <row r="103" spans="1:6" ht="14" customHeight="1">
      <c r="A103" s="429">
        <v>43627</v>
      </c>
      <c r="B103" s="428" t="s">
        <v>122</v>
      </c>
      <c r="C103" s="434" t="s">
        <v>123</v>
      </c>
      <c r="D103" s="366">
        <v>637.6</v>
      </c>
      <c r="E103" s="368" t="s">
        <v>18</v>
      </c>
      <c r="F103" s="366">
        <v>3413.59</v>
      </c>
    </row>
    <row r="104" spans="1:6" ht="14" customHeight="1">
      <c r="A104" s="429">
        <v>43627</v>
      </c>
      <c r="B104" s="428" t="s">
        <v>122</v>
      </c>
      <c r="C104" s="434" t="s">
        <v>123</v>
      </c>
      <c r="D104" s="366">
        <v>130</v>
      </c>
      <c r="E104" s="368" t="s">
        <v>18</v>
      </c>
      <c r="F104" s="366">
        <v>2775.99</v>
      </c>
    </row>
    <row r="105" spans="1:6" ht="14" customHeight="1">
      <c r="A105" s="429">
        <v>43627</v>
      </c>
      <c r="B105" s="428" t="s">
        <v>122</v>
      </c>
      <c r="C105" s="434" t="s">
        <v>123</v>
      </c>
      <c r="D105" s="366">
        <v>8</v>
      </c>
      <c r="E105" s="368" t="s">
        <v>18</v>
      </c>
      <c r="F105" s="366">
        <v>2645.99</v>
      </c>
    </row>
    <row r="106" spans="1:6" ht="14" customHeight="1">
      <c r="A106" s="429">
        <v>43627</v>
      </c>
      <c r="B106" s="428" t="s">
        <v>122</v>
      </c>
      <c r="C106" s="434" t="s">
        <v>123</v>
      </c>
      <c r="D106" s="366">
        <v>20</v>
      </c>
      <c r="E106" s="368" t="s">
        <v>18</v>
      </c>
      <c r="F106" s="366">
        <v>2637.99</v>
      </c>
    </row>
    <row r="107" spans="1:6" ht="14" customHeight="1">
      <c r="A107" s="429">
        <v>43627</v>
      </c>
      <c r="B107" s="428" t="s">
        <v>122</v>
      </c>
      <c r="C107" s="434" t="s">
        <v>123</v>
      </c>
      <c r="D107" s="366">
        <v>204</v>
      </c>
      <c r="E107" s="368" t="s">
        <v>18</v>
      </c>
      <c r="F107" s="366">
        <v>2617.9899999999998</v>
      </c>
    </row>
    <row r="108" spans="1:6" ht="14" customHeight="1">
      <c r="A108" s="429">
        <v>43623</v>
      </c>
      <c r="B108" s="428" t="s">
        <v>153</v>
      </c>
      <c r="C108" s="434" t="s">
        <v>188</v>
      </c>
      <c r="D108" s="368" t="s">
        <v>18</v>
      </c>
      <c r="E108" s="366">
        <v>141.6</v>
      </c>
      <c r="F108" s="366">
        <v>2413.9899999999998</v>
      </c>
    </row>
    <row r="109" spans="1:6" ht="14" customHeight="1">
      <c r="A109" s="429">
        <v>43621</v>
      </c>
      <c r="B109" s="428" t="s">
        <v>132</v>
      </c>
      <c r="C109" s="435">
        <v>515003</v>
      </c>
      <c r="D109" s="366">
        <v>98</v>
      </c>
      <c r="E109" s="368" t="s">
        <v>18</v>
      </c>
      <c r="F109" s="366">
        <v>2555.59</v>
      </c>
    </row>
    <row r="110" spans="1:6" ht="14" customHeight="1">
      <c r="A110" s="429">
        <v>43619</v>
      </c>
      <c r="B110" s="428" t="s">
        <v>149</v>
      </c>
      <c r="C110" s="434" t="s">
        <v>150</v>
      </c>
      <c r="D110" s="368" t="s">
        <v>18</v>
      </c>
      <c r="E110" s="366">
        <v>75</v>
      </c>
      <c r="F110" s="366">
        <v>2457.59</v>
      </c>
    </row>
    <row r="111" spans="1:6" ht="14" customHeight="1">
      <c r="A111" s="429">
        <v>43615</v>
      </c>
      <c r="B111" s="428" t="s">
        <v>124</v>
      </c>
      <c r="C111" s="434" t="s">
        <v>157</v>
      </c>
      <c r="D111" s="368" t="s">
        <v>18</v>
      </c>
      <c r="E111" s="366">
        <v>360.61</v>
      </c>
      <c r="F111" s="366">
        <v>2532.59</v>
      </c>
    </row>
    <row r="112" spans="1:6" ht="14" customHeight="1">
      <c r="A112" s="429">
        <v>43615</v>
      </c>
      <c r="B112" s="428" t="s">
        <v>122</v>
      </c>
      <c r="C112" s="434" t="s">
        <v>205</v>
      </c>
      <c r="D112" s="366">
        <v>17.68</v>
      </c>
      <c r="E112" s="368" t="s">
        <v>18</v>
      </c>
      <c r="F112" s="366">
        <v>2893.2</v>
      </c>
    </row>
    <row r="113" spans="1:6" ht="14" customHeight="1">
      <c r="A113" s="429">
        <v>43613</v>
      </c>
      <c r="B113" s="428" t="s">
        <v>122</v>
      </c>
      <c r="C113" s="434" t="s">
        <v>123</v>
      </c>
      <c r="D113" s="366">
        <v>100</v>
      </c>
      <c r="E113" s="368" t="s">
        <v>18</v>
      </c>
      <c r="F113" s="366">
        <v>2875.52</v>
      </c>
    </row>
    <row r="114" spans="1:6" ht="14" customHeight="1">
      <c r="A114" s="429">
        <v>43613</v>
      </c>
      <c r="B114" s="428" t="s">
        <v>122</v>
      </c>
      <c r="C114" s="434" t="s">
        <v>123</v>
      </c>
      <c r="D114" s="366">
        <v>272</v>
      </c>
      <c r="E114" s="368" t="s">
        <v>18</v>
      </c>
      <c r="F114" s="366">
        <v>2775.52</v>
      </c>
    </row>
    <row r="115" spans="1:6" ht="14" customHeight="1">
      <c r="A115" s="429">
        <v>43608</v>
      </c>
      <c r="B115" s="428" t="s">
        <v>122</v>
      </c>
      <c r="C115" s="434" t="s">
        <v>205</v>
      </c>
      <c r="D115" s="366">
        <v>17.68</v>
      </c>
      <c r="E115" s="368" t="s">
        <v>18</v>
      </c>
      <c r="F115" s="366">
        <v>2503.52</v>
      </c>
    </row>
    <row r="116" spans="1:6" ht="14" customHeight="1">
      <c r="A116" s="429">
        <v>43605</v>
      </c>
      <c r="B116" s="428" t="s">
        <v>122</v>
      </c>
      <c r="C116" s="434" t="s">
        <v>205</v>
      </c>
      <c r="D116" s="366">
        <v>35.36</v>
      </c>
      <c r="E116" s="368" t="s">
        <v>18</v>
      </c>
      <c r="F116" s="366">
        <v>2485.84</v>
      </c>
    </row>
    <row r="117" spans="1:6" ht="14" customHeight="1">
      <c r="A117" s="429">
        <v>43599</v>
      </c>
      <c r="B117" s="428" t="s">
        <v>124</v>
      </c>
      <c r="C117" s="434" t="s">
        <v>147</v>
      </c>
      <c r="D117" s="368" t="s">
        <v>18</v>
      </c>
      <c r="E117" s="366">
        <v>192.6</v>
      </c>
      <c r="F117" s="366">
        <v>2450.48</v>
      </c>
    </row>
    <row r="118" spans="1:6" ht="14" customHeight="1">
      <c r="A118" s="429">
        <v>43599</v>
      </c>
      <c r="B118" s="428" t="s">
        <v>124</v>
      </c>
      <c r="C118" s="434" t="s">
        <v>250</v>
      </c>
      <c r="D118" s="368" t="s">
        <v>18</v>
      </c>
      <c r="E118" s="366">
        <v>3000</v>
      </c>
      <c r="F118" s="366">
        <v>2643.08</v>
      </c>
    </row>
    <row r="119" spans="1:6" ht="14" customHeight="1">
      <c r="A119" s="429">
        <v>43599</v>
      </c>
      <c r="B119" s="428" t="s">
        <v>122</v>
      </c>
      <c r="C119" s="434" t="s">
        <v>128</v>
      </c>
      <c r="D119" s="366">
        <v>100</v>
      </c>
      <c r="E119" s="368" t="s">
        <v>18</v>
      </c>
      <c r="F119" s="366">
        <v>5643.08</v>
      </c>
    </row>
    <row r="120" spans="1:6" ht="14" customHeight="1">
      <c r="A120" s="429">
        <v>43594</v>
      </c>
      <c r="B120" s="428" t="s">
        <v>124</v>
      </c>
      <c r="C120" s="434" t="s">
        <v>258</v>
      </c>
      <c r="D120" s="368" t="s">
        <v>18</v>
      </c>
      <c r="E120" s="366">
        <v>864</v>
      </c>
      <c r="F120" s="366">
        <v>5543.08</v>
      </c>
    </row>
    <row r="121" spans="1:6" ht="14" customHeight="1">
      <c r="A121" s="429">
        <v>43588</v>
      </c>
      <c r="B121" s="428" t="s">
        <v>153</v>
      </c>
      <c r="C121" s="434" t="s">
        <v>188</v>
      </c>
      <c r="D121" s="368" t="s">
        <v>18</v>
      </c>
      <c r="E121" s="366">
        <v>13.2</v>
      </c>
      <c r="F121" s="366">
        <v>6407.08</v>
      </c>
    </row>
    <row r="122" spans="1:6" ht="14" customHeight="1">
      <c r="A122" s="429">
        <v>43587</v>
      </c>
      <c r="B122" s="428" t="s">
        <v>122</v>
      </c>
      <c r="C122" s="434" t="s">
        <v>128</v>
      </c>
      <c r="D122" s="366">
        <v>500</v>
      </c>
      <c r="E122" s="368" t="s">
        <v>18</v>
      </c>
      <c r="F122" s="366">
        <v>6420.28</v>
      </c>
    </row>
    <row r="123" spans="1:6" ht="14" customHeight="1">
      <c r="A123" s="429">
        <v>43586</v>
      </c>
      <c r="B123" s="428" t="s">
        <v>149</v>
      </c>
      <c r="C123" s="434" t="s">
        <v>150</v>
      </c>
      <c r="D123" s="368" t="s">
        <v>18</v>
      </c>
      <c r="E123" s="366">
        <v>75</v>
      </c>
      <c r="F123" s="366">
        <v>5920.28</v>
      </c>
    </row>
    <row r="124" spans="1:6" ht="14" customHeight="1">
      <c r="A124" s="429">
        <v>43586</v>
      </c>
      <c r="B124" s="428" t="s">
        <v>122</v>
      </c>
      <c r="C124" s="434" t="s">
        <v>219</v>
      </c>
      <c r="D124" s="366">
        <v>10</v>
      </c>
      <c r="E124" s="368" t="s">
        <v>18</v>
      </c>
      <c r="F124" s="366">
        <v>5995.28</v>
      </c>
    </row>
    <row r="125" spans="1:6" ht="14" customHeight="1">
      <c r="A125" s="429">
        <v>43585</v>
      </c>
      <c r="B125" s="428" t="s">
        <v>122</v>
      </c>
      <c r="C125" s="434" t="s">
        <v>205</v>
      </c>
      <c r="D125" s="366">
        <v>9.82</v>
      </c>
      <c r="E125" s="368" t="s">
        <v>18</v>
      </c>
      <c r="F125" s="366">
        <v>5985.28</v>
      </c>
    </row>
    <row r="126" spans="1:6" ht="14" customHeight="1">
      <c r="A126" s="429">
        <v>43584</v>
      </c>
      <c r="B126" s="428" t="s">
        <v>122</v>
      </c>
      <c r="C126" s="434" t="s">
        <v>123</v>
      </c>
      <c r="D126" s="366">
        <v>122</v>
      </c>
      <c r="E126" s="368" t="s">
        <v>18</v>
      </c>
      <c r="F126" s="366">
        <v>5975.46</v>
      </c>
    </row>
    <row r="127" spans="1:6" ht="14" customHeight="1">
      <c r="A127" s="429">
        <v>43584</v>
      </c>
      <c r="B127" s="428" t="s">
        <v>122</v>
      </c>
      <c r="C127" s="434" t="s">
        <v>123</v>
      </c>
      <c r="D127" s="366">
        <v>245</v>
      </c>
      <c r="E127" s="368" t="s">
        <v>18</v>
      </c>
      <c r="F127" s="366">
        <v>5853.46</v>
      </c>
    </row>
    <row r="128" spans="1:6" ht="14" customHeight="1">
      <c r="A128" s="429">
        <v>43580</v>
      </c>
      <c r="B128" s="428" t="s">
        <v>122</v>
      </c>
      <c r="C128" s="434" t="s">
        <v>205</v>
      </c>
      <c r="D128" s="366">
        <v>9.82</v>
      </c>
      <c r="E128" s="368" t="s">
        <v>18</v>
      </c>
      <c r="F128" s="366">
        <v>5608.46</v>
      </c>
    </row>
    <row r="129" spans="1:6" ht="14" customHeight="1">
      <c r="A129" s="429">
        <v>43578</v>
      </c>
      <c r="B129" s="428" t="s">
        <v>122</v>
      </c>
      <c r="C129" s="434" t="s">
        <v>205</v>
      </c>
      <c r="D129" s="366">
        <v>202.34</v>
      </c>
      <c r="E129" s="368" t="s">
        <v>18</v>
      </c>
      <c r="F129" s="366">
        <v>5598.64</v>
      </c>
    </row>
    <row r="130" spans="1:6" ht="14" customHeight="1">
      <c r="A130" s="429">
        <v>43572</v>
      </c>
      <c r="B130" s="428" t="s">
        <v>124</v>
      </c>
      <c r="C130" s="434" t="s">
        <v>232</v>
      </c>
      <c r="D130" s="368" t="s">
        <v>18</v>
      </c>
      <c r="E130" s="366">
        <v>55.4</v>
      </c>
      <c r="F130" s="366">
        <v>5396.3</v>
      </c>
    </row>
    <row r="131" spans="1:6" ht="14" customHeight="1">
      <c r="A131" s="429">
        <v>43571</v>
      </c>
      <c r="B131" s="428" t="s">
        <v>153</v>
      </c>
      <c r="C131" s="434" t="s">
        <v>188</v>
      </c>
      <c r="D131" s="368" t="s">
        <v>18</v>
      </c>
      <c r="E131" s="366">
        <v>131.87</v>
      </c>
      <c r="F131" s="366">
        <v>5451.7</v>
      </c>
    </row>
    <row r="132" spans="1:6" ht="14" customHeight="1">
      <c r="A132" s="429">
        <v>43565</v>
      </c>
      <c r="B132" s="428" t="s">
        <v>122</v>
      </c>
      <c r="C132" s="434" t="s">
        <v>205</v>
      </c>
      <c r="D132" s="366">
        <v>9.82</v>
      </c>
      <c r="E132" s="368" t="s">
        <v>18</v>
      </c>
      <c r="F132" s="366">
        <v>5583.57</v>
      </c>
    </row>
    <row r="133" spans="1:6" ht="14" customHeight="1">
      <c r="A133" s="429">
        <v>43560</v>
      </c>
      <c r="B133" s="428" t="s">
        <v>122</v>
      </c>
      <c r="C133" s="434" t="s">
        <v>205</v>
      </c>
      <c r="D133" s="366">
        <v>66.790000000000006</v>
      </c>
      <c r="E133" s="368" t="s">
        <v>18</v>
      </c>
      <c r="F133" s="366">
        <v>5573.75</v>
      </c>
    </row>
    <row r="134" spans="1:6" ht="14" customHeight="1">
      <c r="A134" s="429">
        <v>43556</v>
      </c>
      <c r="B134" s="428" t="s">
        <v>149</v>
      </c>
      <c r="C134" s="434" t="s">
        <v>150</v>
      </c>
      <c r="D134" s="368" t="s">
        <v>18</v>
      </c>
      <c r="E134" s="366">
        <v>75</v>
      </c>
      <c r="F134" s="366">
        <v>5506.96</v>
      </c>
    </row>
    <row r="135" spans="1:6" ht="14" customHeight="1">
      <c r="A135" s="429">
        <v>43556</v>
      </c>
      <c r="B135" s="428" t="s">
        <v>149</v>
      </c>
      <c r="C135" s="368" t="s">
        <v>165</v>
      </c>
      <c r="D135" s="368" t="s">
        <v>18</v>
      </c>
      <c r="E135" s="366">
        <v>50</v>
      </c>
      <c r="F135" s="366">
        <v>5581.96</v>
      </c>
    </row>
    <row r="136" spans="1:6" ht="14" customHeight="1">
      <c r="A136" s="429">
        <v>43556</v>
      </c>
      <c r="B136" s="428" t="s">
        <v>124</v>
      </c>
      <c r="C136" s="368" t="s">
        <v>355</v>
      </c>
      <c r="D136" s="368" t="s">
        <v>18</v>
      </c>
      <c r="E136" s="366">
        <v>43.12</v>
      </c>
      <c r="F136" s="366">
        <v>5631.96</v>
      </c>
    </row>
    <row r="137" spans="1:6" ht="14" customHeight="1">
      <c r="A137" s="429">
        <v>43556</v>
      </c>
      <c r="B137" s="428" t="s">
        <v>124</v>
      </c>
      <c r="C137" s="368" t="s">
        <v>162</v>
      </c>
      <c r="D137" s="368" t="s">
        <v>18</v>
      </c>
      <c r="E137" s="366">
        <v>162.5</v>
      </c>
      <c r="F137" s="366">
        <v>5675.08</v>
      </c>
    </row>
    <row r="138" spans="1:6" ht="14" customHeight="1">
      <c r="A138" s="429">
        <v>43556</v>
      </c>
      <c r="B138" s="428" t="s">
        <v>122</v>
      </c>
      <c r="C138" s="368" t="s">
        <v>220</v>
      </c>
      <c r="D138" s="366">
        <v>4132.8100000000004</v>
      </c>
      <c r="E138" s="368" t="s">
        <v>18</v>
      </c>
      <c r="F138" s="366">
        <v>5837.58</v>
      </c>
    </row>
    <row r="139" spans="1:6" ht="14" customHeight="1">
      <c r="A139" s="429"/>
      <c r="B139" s="428"/>
      <c r="C139" s="368"/>
      <c r="D139" s="366">
        <f>SUM(D3:D138)</f>
        <v>29152.280000000002</v>
      </c>
      <c r="E139" s="366">
        <f>SUM(E3:E138)</f>
        <v>25467.589999999993</v>
      </c>
      <c r="F139" s="366"/>
    </row>
    <row r="140" spans="1:6" ht="13.75" customHeight="1">
      <c r="A140" s="436"/>
      <c r="B140" s="437"/>
      <c r="C140" s="357"/>
      <c r="D140" s="366"/>
      <c r="E140" s="366"/>
      <c r="F140" s="366"/>
    </row>
    <row r="141" spans="1:6" ht="13.5" customHeight="1">
      <c r="A141" s="436"/>
      <c r="B141" s="437"/>
      <c r="C141" s="357"/>
      <c r="D141" s="366"/>
      <c r="E141" s="366"/>
      <c r="F141" s="366"/>
    </row>
    <row r="142" spans="1:6" ht="13.5" customHeight="1">
      <c r="A142" s="436"/>
      <c r="B142" s="437"/>
      <c r="C142" s="357"/>
      <c r="D142" s="366"/>
      <c r="E142" s="366"/>
      <c r="F142" s="366"/>
    </row>
    <row r="143" spans="1:6" ht="13.5" customHeight="1">
      <c r="A143" s="436"/>
      <c r="B143" s="437"/>
      <c r="C143" s="357"/>
      <c r="D143" s="366"/>
      <c r="E143" s="366"/>
      <c r="F143" s="366"/>
    </row>
    <row r="144" spans="1:6" ht="13.5" customHeight="1">
      <c r="A144" s="436"/>
      <c r="B144" s="437"/>
      <c r="C144" s="357"/>
      <c r="D144" s="366"/>
      <c r="E144" s="366"/>
      <c r="F144" s="366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07"/>
  <sheetViews>
    <sheetView showGridLines="0" workbookViewId="0">
      <pane xSplit="1" ySplit="2" topLeftCell="B3" activePane="bottomRight" state="frozen"/>
      <selection pane="topRight"/>
      <selection pane="bottomLeft"/>
      <selection pane="bottomRight" sqref="A1:G1"/>
    </sheetView>
  </sheetViews>
  <sheetFormatPr baseColWidth="10" defaultColWidth="16.33203125" defaultRowHeight="14" customHeight="1"/>
  <cols>
    <col min="1" max="1" width="23" style="1" customWidth="1"/>
    <col min="2" max="2" width="10.83203125" style="1" customWidth="1"/>
    <col min="3" max="3" width="30.33203125" style="1" customWidth="1"/>
    <col min="4" max="8" width="16.33203125" style="1" customWidth="1"/>
    <col min="9" max="16384" width="16.33203125" style="1"/>
  </cols>
  <sheetData>
    <row r="1" spans="1:7" ht="14.75" customHeight="1">
      <c r="A1" s="595" t="s">
        <v>88</v>
      </c>
      <c r="B1" s="595"/>
      <c r="C1" s="595"/>
      <c r="D1" s="595"/>
      <c r="E1" s="595"/>
      <c r="F1" s="595"/>
      <c r="G1" s="595"/>
    </row>
    <row r="2" spans="1:7" ht="14.25" customHeight="1">
      <c r="A2" s="438"/>
      <c r="B2" s="438"/>
      <c r="C2" s="438"/>
      <c r="D2" s="438"/>
      <c r="E2" s="438"/>
      <c r="F2" s="438"/>
      <c r="G2" s="438"/>
    </row>
    <row r="3" spans="1:7" ht="22.5" customHeight="1">
      <c r="A3" s="439" t="s">
        <v>143</v>
      </c>
      <c r="B3" s="440" t="s">
        <v>124</v>
      </c>
      <c r="C3" s="441" t="s">
        <v>144</v>
      </c>
      <c r="D3" s="442" t="s">
        <v>18</v>
      </c>
      <c r="E3" s="443">
        <v>200</v>
      </c>
      <c r="F3" s="444">
        <v>1463.43</v>
      </c>
      <c r="G3" s="445"/>
    </row>
    <row r="4" spans="1:7" ht="22.5" customHeight="1">
      <c r="A4" s="446" t="s">
        <v>146</v>
      </c>
      <c r="B4" s="447" t="s">
        <v>124</v>
      </c>
      <c r="C4" s="448" t="s">
        <v>147</v>
      </c>
      <c r="D4" s="449" t="s">
        <v>18</v>
      </c>
      <c r="E4" s="450">
        <v>31.5</v>
      </c>
      <c r="F4" s="451">
        <v>1663.43</v>
      </c>
      <c r="G4" s="452"/>
    </row>
    <row r="5" spans="1:7" ht="22.5" customHeight="1">
      <c r="A5" s="446" t="s">
        <v>146</v>
      </c>
      <c r="B5" s="447" t="s">
        <v>122</v>
      </c>
      <c r="C5" s="448" t="s">
        <v>123</v>
      </c>
      <c r="D5" s="450">
        <v>5</v>
      </c>
      <c r="E5" s="449" t="s">
        <v>18</v>
      </c>
      <c r="F5" s="451">
        <v>1694.93</v>
      </c>
      <c r="G5" s="452"/>
    </row>
    <row r="6" spans="1:7" ht="22.5" customHeight="1">
      <c r="A6" s="446" t="s">
        <v>146</v>
      </c>
      <c r="B6" s="447" t="s">
        <v>122</v>
      </c>
      <c r="C6" s="448" t="s">
        <v>123</v>
      </c>
      <c r="D6" s="450">
        <v>8</v>
      </c>
      <c r="E6" s="449" t="s">
        <v>18</v>
      </c>
      <c r="F6" s="451">
        <v>1689.93</v>
      </c>
      <c r="G6" s="452"/>
    </row>
    <row r="7" spans="1:7" ht="22.5" customHeight="1">
      <c r="A7" s="446" t="s">
        <v>148</v>
      </c>
      <c r="B7" s="447" t="s">
        <v>149</v>
      </c>
      <c r="C7" s="448" t="s">
        <v>150</v>
      </c>
      <c r="D7" s="449" t="s">
        <v>18</v>
      </c>
      <c r="E7" s="450">
        <v>75</v>
      </c>
      <c r="F7" s="451">
        <v>1681.93</v>
      </c>
      <c r="G7" s="452"/>
    </row>
    <row r="8" spans="1:7" ht="22.5" customHeight="1">
      <c r="A8" s="446" t="s">
        <v>151</v>
      </c>
      <c r="B8" s="447" t="s">
        <v>124</v>
      </c>
      <c r="C8" s="448" t="s">
        <v>147</v>
      </c>
      <c r="D8" s="449" t="s">
        <v>18</v>
      </c>
      <c r="E8" s="450">
        <v>688.5</v>
      </c>
      <c r="F8" s="451">
        <v>1756.93</v>
      </c>
      <c r="G8" s="452"/>
    </row>
    <row r="9" spans="1:7" ht="22.5" customHeight="1">
      <c r="A9" s="446" t="s">
        <v>152</v>
      </c>
      <c r="B9" s="447" t="s">
        <v>153</v>
      </c>
      <c r="C9" s="448" t="s">
        <v>154</v>
      </c>
      <c r="D9" s="449" t="s">
        <v>18</v>
      </c>
      <c r="E9" s="450">
        <v>216</v>
      </c>
      <c r="F9" s="451">
        <v>2445.4299999999998</v>
      </c>
      <c r="G9" s="452"/>
    </row>
    <row r="10" spans="1:7" ht="22.5" customHeight="1">
      <c r="A10" s="446" t="s">
        <v>156</v>
      </c>
      <c r="B10" s="447" t="s">
        <v>124</v>
      </c>
      <c r="C10" s="448" t="s">
        <v>157</v>
      </c>
      <c r="D10" s="449" t="s">
        <v>18</v>
      </c>
      <c r="E10" s="453">
        <v>27.84</v>
      </c>
      <c r="F10" s="451">
        <v>2661.43</v>
      </c>
      <c r="G10" s="452"/>
    </row>
    <row r="11" spans="1:7" ht="22.5" customHeight="1">
      <c r="A11" s="446" t="s">
        <v>156</v>
      </c>
      <c r="B11" s="447" t="s">
        <v>124</v>
      </c>
      <c r="C11" s="448" t="s">
        <v>125</v>
      </c>
      <c r="D11" s="450">
        <v>20</v>
      </c>
      <c r="E11" s="449" t="s">
        <v>18</v>
      </c>
      <c r="F11" s="451">
        <v>2689.27</v>
      </c>
      <c r="G11" s="452"/>
    </row>
    <row r="12" spans="1:7" ht="22.5" customHeight="1">
      <c r="A12" s="446" t="s">
        <v>156</v>
      </c>
      <c r="B12" s="447" t="s">
        <v>122</v>
      </c>
      <c r="C12" s="448" t="s">
        <v>123</v>
      </c>
      <c r="D12" s="450">
        <v>10</v>
      </c>
      <c r="E12" s="449" t="s">
        <v>18</v>
      </c>
      <c r="F12" s="451">
        <v>2669.27</v>
      </c>
      <c r="G12" s="452"/>
    </row>
    <row r="13" spans="1:7" ht="22.5" customHeight="1">
      <c r="A13" s="446" t="s">
        <v>158</v>
      </c>
      <c r="B13" s="447" t="s">
        <v>124</v>
      </c>
      <c r="C13" s="448" t="s">
        <v>144</v>
      </c>
      <c r="D13" s="449" t="s">
        <v>18</v>
      </c>
      <c r="E13" s="450">
        <v>100</v>
      </c>
      <c r="F13" s="451">
        <v>2659.27</v>
      </c>
      <c r="G13" s="452"/>
    </row>
    <row r="14" spans="1:7" ht="22.5" customHeight="1">
      <c r="A14" s="446" t="s">
        <v>159</v>
      </c>
      <c r="B14" s="447" t="s">
        <v>124</v>
      </c>
      <c r="C14" s="448" t="s">
        <v>147</v>
      </c>
      <c r="D14" s="449" t="s">
        <v>18</v>
      </c>
      <c r="E14" s="450">
        <v>108</v>
      </c>
      <c r="F14" s="451">
        <v>2759.27</v>
      </c>
      <c r="G14" s="452"/>
    </row>
    <row r="15" spans="1:7" ht="22.5" customHeight="1">
      <c r="A15" s="446" t="s">
        <v>160</v>
      </c>
      <c r="B15" s="447" t="s">
        <v>149</v>
      </c>
      <c r="C15" s="448" t="s">
        <v>150</v>
      </c>
      <c r="D15" s="449" t="s">
        <v>18</v>
      </c>
      <c r="E15" s="450">
        <v>75</v>
      </c>
      <c r="F15" s="451">
        <v>2867.27</v>
      </c>
      <c r="G15" s="452"/>
    </row>
    <row r="16" spans="1:7" ht="22.5" customHeight="1">
      <c r="A16" s="446" t="s">
        <v>161</v>
      </c>
      <c r="B16" s="447" t="s">
        <v>124</v>
      </c>
      <c r="C16" s="448" t="s">
        <v>162</v>
      </c>
      <c r="D16" s="449" t="s">
        <v>18</v>
      </c>
      <c r="E16" s="450">
        <v>159</v>
      </c>
      <c r="F16" s="451">
        <v>2942.27</v>
      </c>
      <c r="G16" s="452"/>
    </row>
    <row r="17" spans="1:7" ht="22.5" customHeight="1">
      <c r="A17" s="446" t="s">
        <v>163</v>
      </c>
      <c r="B17" s="447" t="s">
        <v>149</v>
      </c>
      <c r="C17" s="448" t="s">
        <v>150</v>
      </c>
      <c r="D17" s="449" t="s">
        <v>18</v>
      </c>
      <c r="E17" s="450">
        <v>75</v>
      </c>
      <c r="F17" s="451">
        <v>3101.27</v>
      </c>
      <c r="G17" s="452"/>
    </row>
    <row r="18" spans="1:7" ht="22.5" customHeight="1">
      <c r="A18" s="446" t="s">
        <v>164</v>
      </c>
      <c r="B18" s="447" t="s">
        <v>149</v>
      </c>
      <c r="C18" s="448" t="s">
        <v>165</v>
      </c>
      <c r="D18" s="449" t="s">
        <v>18</v>
      </c>
      <c r="E18" s="450">
        <v>50</v>
      </c>
      <c r="F18" s="451">
        <v>3176.27</v>
      </c>
      <c r="G18" s="452"/>
    </row>
    <row r="19" spans="1:7" ht="22.5" customHeight="1">
      <c r="A19" s="446" t="s">
        <v>164</v>
      </c>
      <c r="B19" s="447" t="s">
        <v>124</v>
      </c>
      <c r="C19" s="448" t="s">
        <v>144</v>
      </c>
      <c r="D19" s="449" t="s">
        <v>18</v>
      </c>
      <c r="E19" s="450">
        <v>100</v>
      </c>
      <c r="F19" s="451">
        <v>3226.27</v>
      </c>
      <c r="G19" s="452"/>
    </row>
    <row r="20" spans="1:7" ht="22.5" customHeight="1">
      <c r="A20" s="446" t="s">
        <v>356</v>
      </c>
      <c r="B20" s="447" t="s">
        <v>122</v>
      </c>
      <c r="C20" s="448" t="s">
        <v>123</v>
      </c>
      <c r="D20" s="450">
        <v>325</v>
      </c>
      <c r="E20" s="449" t="s">
        <v>18</v>
      </c>
      <c r="F20" s="451">
        <v>3326.27</v>
      </c>
      <c r="G20" s="452"/>
    </row>
    <row r="21" spans="1:7" ht="22.5" customHeight="1">
      <c r="A21" s="446" t="s">
        <v>356</v>
      </c>
      <c r="B21" s="447" t="s">
        <v>122</v>
      </c>
      <c r="C21" s="448" t="s">
        <v>123</v>
      </c>
      <c r="D21" s="450">
        <v>103</v>
      </c>
      <c r="E21" s="449" t="s">
        <v>18</v>
      </c>
      <c r="F21" s="451">
        <v>3001.27</v>
      </c>
      <c r="G21" s="452"/>
    </row>
    <row r="22" spans="1:7" ht="22.5" customHeight="1">
      <c r="A22" s="446" t="s">
        <v>357</v>
      </c>
      <c r="B22" s="447" t="s">
        <v>122</v>
      </c>
      <c r="C22" s="448" t="s">
        <v>127</v>
      </c>
      <c r="D22" s="450">
        <v>50</v>
      </c>
      <c r="E22" s="449" t="s">
        <v>18</v>
      </c>
      <c r="F22" s="451">
        <v>2898.27</v>
      </c>
      <c r="G22" s="452"/>
    </row>
    <row r="23" spans="1:7" ht="22.5" customHeight="1">
      <c r="A23" s="446" t="s">
        <v>166</v>
      </c>
      <c r="B23" s="447" t="s">
        <v>149</v>
      </c>
      <c r="C23" s="448" t="s">
        <v>150</v>
      </c>
      <c r="D23" s="449" t="s">
        <v>18</v>
      </c>
      <c r="E23" s="450">
        <v>75</v>
      </c>
      <c r="F23" s="451">
        <v>2848.27</v>
      </c>
      <c r="G23" s="452"/>
    </row>
    <row r="24" spans="1:7" ht="22.5" customHeight="1">
      <c r="A24" s="446" t="s">
        <v>167</v>
      </c>
      <c r="B24" s="447" t="s">
        <v>124</v>
      </c>
      <c r="C24" s="448" t="s">
        <v>144</v>
      </c>
      <c r="D24" s="449" t="s">
        <v>18</v>
      </c>
      <c r="E24" s="450">
        <v>100</v>
      </c>
      <c r="F24" s="451">
        <v>2923.27</v>
      </c>
      <c r="G24" s="452"/>
    </row>
    <row r="25" spans="1:7" ht="22.5" customHeight="1">
      <c r="A25" s="446" t="s">
        <v>168</v>
      </c>
      <c r="B25" s="447" t="s">
        <v>124</v>
      </c>
      <c r="C25" s="448" t="s">
        <v>147</v>
      </c>
      <c r="D25" s="449" t="s">
        <v>18</v>
      </c>
      <c r="E25" s="450">
        <v>31.5</v>
      </c>
      <c r="F25" s="451">
        <v>3023.27</v>
      </c>
      <c r="G25" s="452"/>
    </row>
    <row r="26" spans="1:7" ht="22.5" customHeight="1">
      <c r="A26" s="446" t="s">
        <v>358</v>
      </c>
      <c r="B26" s="447" t="s">
        <v>122</v>
      </c>
      <c r="C26" s="448" t="s">
        <v>128</v>
      </c>
      <c r="D26" s="454">
        <v>1000</v>
      </c>
      <c r="E26" s="449" t="s">
        <v>18</v>
      </c>
      <c r="F26" s="451">
        <v>3054.77</v>
      </c>
      <c r="G26" s="452"/>
    </row>
    <row r="27" spans="1:7" ht="22.5" customHeight="1">
      <c r="A27" s="446" t="s">
        <v>169</v>
      </c>
      <c r="B27" s="447" t="s">
        <v>149</v>
      </c>
      <c r="C27" s="448" t="s">
        <v>150</v>
      </c>
      <c r="D27" s="449" t="s">
        <v>18</v>
      </c>
      <c r="E27" s="450">
        <v>75</v>
      </c>
      <c r="F27" s="451">
        <v>2054.77</v>
      </c>
      <c r="G27" s="452"/>
    </row>
    <row r="28" spans="1:7" ht="22.5" customHeight="1">
      <c r="A28" s="446" t="s">
        <v>170</v>
      </c>
      <c r="B28" s="447" t="s">
        <v>124</v>
      </c>
      <c r="C28" s="448" t="s">
        <v>144</v>
      </c>
      <c r="D28" s="449" t="s">
        <v>18</v>
      </c>
      <c r="E28" s="450">
        <v>100</v>
      </c>
      <c r="F28" s="451">
        <v>2129.77</v>
      </c>
      <c r="G28" s="452"/>
    </row>
    <row r="29" spans="1:7" ht="22.5" customHeight="1">
      <c r="A29" s="446" t="s">
        <v>170</v>
      </c>
      <c r="B29" s="447" t="s">
        <v>124</v>
      </c>
      <c r="C29" s="448" t="s">
        <v>125</v>
      </c>
      <c r="D29" s="450">
        <v>33</v>
      </c>
      <c r="E29" s="449" t="s">
        <v>18</v>
      </c>
      <c r="F29" s="451">
        <v>2229.77</v>
      </c>
      <c r="G29" s="452"/>
    </row>
    <row r="30" spans="1:7" ht="22.5" customHeight="1">
      <c r="A30" s="446" t="s">
        <v>171</v>
      </c>
      <c r="B30" s="447" t="s">
        <v>124</v>
      </c>
      <c r="C30" s="448" t="s">
        <v>147</v>
      </c>
      <c r="D30" s="449" t="s">
        <v>18</v>
      </c>
      <c r="E30" s="450">
        <v>616.5</v>
      </c>
      <c r="F30" s="451">
        <v>2196.77</v>
      </c>
      <c r="G30" s="452"/>
    </row>
    <row r="31" spans="1:7" ht="22.5" customHeight="1">
      <c r="A31" s="446" t="s">
        <v>171</v>
      </c>
      <c r="B31" s="447" t="s">
        <v>122</v>
      </c>
      <c r="C31" s="448" t="s">
        <v>123</v>
      </c>
      <c r="D31" s="450">
        <v>40</v>
      </c>
      <c r="E31" s="449" t="s">
        <v>18</v>
      </c>
      <c r="F31" s="451">
        <v>2813.27</v>
      </c>
      <c r="G31" s="452"/>
    </row>
    <row r="32" spans="1:7" ht="22.5" customHeight="1">
      <c r="A32" s="446" t="s">
        <v>171</v>
      </c>
      <c r="B32" s="447" t="s">
        <v>122</v>
      </c>
      <c r="C32" s="448" t="s">
        <v>123</v>
      </c>
      <c r="D32" s="450">
        <v>154</v>
      </c>
      <c r="E32" s="449" t="s">
        <v>18</v>
      </c>
      <c r="F32" s="451">
        <v>2773.27</v>
      </c>
      <c r="G32" s="452"/>
    </row>
    <row r="33" spans="1:7" ht="22.5" customHeight="1">
      <c r="A33" s="446" t="s">
        <v>172</v>
      </c>
      <c r="B33" s="447" t="s">
        <v>124</v>
      </c>
      <c r="C33" s="448" t="s">
        <v>144</v>
      </c>
      <c r="D33" s="449" t="s">
        <v>18</v>
      </c>
      <c r="E33" s="450">
        <v>100</v>
      </c>
      <c r="F33" s="451">
        <v>2619.27</v>
      </c>
      <c r="G33" s="452"/>
    </row>
    <row r="34" spans="1:7" ht="22.5" customHeight="1">
      <c r="A34" s="446" t="s">
        <v>173</v>
      </c>
      <c r="B34" s="447" t="s">
        <v>149</v>
      </c>
      <c r="C34" s="448" t="s">
        <v>150</v>
      </c>
      <c r="D34" s="449" t="s">
        <v>18</v>
      </c>
      <c r="E34" s="450">
        <v>75</v>
      </c>
      <c r="F34" s="451">
        <v>2719.27</v>
      </c>
      <c r="G34" s="452"/>
    </row>
    <row r="35" spans="1:7" ht="22.5" customHeight="1">
      <c r="A35" s="446" t="s">
        <v>173</v>
      </c>
      <c r="B35" s="447" t="s">
        <v>122</v>
      </c>
      <c r="C35" s="448" t="s">
        <v>128</v>
      </c>
      <c r="D35" s="450">
        <v>500</v>
      </c>
      <c r="E35" s="449" t="s">
        <v>18</v>
      </c>
      <c r="F35" s="451">
        <v>2794.27</v>
      </c>
      <c r="G35" s="452"/>
    </row>
    <row r="36" spans="1:7" ht="22.5" customHeight="1">
      <c r="A36" s="446" t="s">
        <v>174</v>
      </c>
      <c r="B36" s="447" t="s">
        <v>149</v>
      </c>
      <c r="C36" s="448" t="s">
        <v>165</v>
      </c>
      <c r="D36" s="449" t="s">
        <v>18</v>
      </c>
      <c r="E36" s="450">
        <v>50</v>
      </c>
      <c r="F36" s="451">
        <v>2294.27</v>
      </c>
      <c r="G36" s="452"/>
    </row>
    <row r="37" spans="1:7" ht="38.5" customHeight="1">
      <c r="A37" s="446" t="s">
        <v>359</v>
      </c>
      <c r="B37" s="447" t="s">
        <v>122</v>
      </c>
      <c r="C37" s="448" t="s">
        <v>128</v>
      </c>
      <c r="D37" s="450">
        <v>250</v>
      </c>
      <c r="E37" s="449" t="s">
        <v>18</v>
      </c>
      <c r="F37" s="451">
        <v>2344.27</v>
      </c>
      <c r="G37" s="452"/>
    </row>
    <row r="38" spans="1:7" ht="38.5" customHeight="1">
      <c r="A38" s="446" t="s">
        <v>359</v>
      </c>
      <c r="B38" s="447" t="s">
        <v>122</v>
      </c>
      <c r="C38" s="448" t="s">
        <v>123</v>
      </c>
      <c r="D38" s="450">
        <v>180</v>
      </c>
      <c r="E38" s="449" t="s">
        <v>18</v>
      </c>
      <c r="F38" s="451">
        <v>2094.27</v>
      </c>
      <c r="G38" s="452"/>
    </row>
    <row r="39" spans="1:7" ht="38.5" customHeight="1">
      <c r="A39" s="446" t="s">
        <v>359</v>
      </c>
      <c r="B39" s="447" t="s">
        <v>122</v>
      </c>
      <c r="C39" s="448" t="s">
        <v>123</v>
      </c>
      <c r="D39" s="450">
        <v>24</v>
      </c>
      <c r="E39" s="449" t="s">
        <v>18</v>
      </c>
      <c r="F39" s="451">
        <v>1914.27</v>
      </c>
      <c r="G39" s="452"/>
    </row>
    <row r="40" spans="1:7" ht="22.5" customHeight="1">
      <c r="A40" s="446" t="s">
        <v>175</v>
      </c>
      <c r="B40" s="447" t="s">
        <v>124</v>
      </c>
      <c r="C40" s="448" t="s">
        <v>144</v>
      </c>
      <c r="D40" s="449" t="s">
        <v>18</v>
      </c>
      <c r="E40" s="450">
        <v>500</v>
      </c>
      <c r="F40" s="451">
        <v>1890.27</v>
      </c>
      <c r="G40" s="452"/>
    </row>
    <row r="41" spans="1:7" ht="22.5" customHeight="1">
      <c r="A41" s="446" t="s">
        <v>175</v>
      </c>
      <c r="B41" s="447" t="s">
        <v>132</v>
      </c>
      <c r="C41" s="455">
        <v>515003</v>
      </c>
      <c r="D41" s="450">
        <v>12</v>
      </c>
      <c r="E41" s="449" t="s">
        <v>18</v>
      </c>
      <c r="F41" s="451">
        <v>2390.27</v>
      </c>
      <c r="G41" s="452"/>
    </row>
    <row r="42" spans="1:7" ht="22.5" customHeight="1">
      <c r="A42" s="446" t="s">
        <v>176</v>
      </c>
      <c r="B42" s="447" t="s">
        <v>149</v>
      </c>
      <c r="C42" s="448" t="s">
        <v>150</v>
      </c>
      <c r="D42" s="449" t="s">
        <v>18</v>
      </c>
      <c r="E42" s="450">
        <v>75</v>
      </c>
      <c r="F42" s="451">
        <v>2378.27</v>
      </c>
      <c r="G42" s="452"/>
    </row>
    <row r="43" spans="1:7" ht="22.5" customHeight="1">
      <c r="A43" s="446" t="s">
        <v>360</v>
      </c>
      <c r="B43" s="447" t="s">
        <v>122</v>
      </c>
      <c r="C43" s="448" t="s">
        <v>123</v>
      </c>
      <c r="D43" s="450">
        <v>163</v>
      </c>
      <c r="E43" s="449" t="s">
        <v>18</v>
      </c>
      <c r="F43" s="451">
        <v>2453.27</v>
      </c>
      <c r="G43" s="452"/>
    </row>
    <row r="44" spans="1:7" ht="22.5" customHeight="1">
      <c r="A44" s="446" t="s">
        <v>361</v>
      </c>
      <c r="B44" s="447" t="s">
        <v>124</v>
      </c>
      <c r="C44" s="448" t="s">
        <v>125</v>
      </c>
      <c r="D44" s="450">
        <v>50</v>
      </c>
      <c r="E44" s="449" t="s">
        <v>18</v>
      </c>
      <c r="F44" s="451">
        <v>2290.27</v>
      </c>
      <c r="G44" s="452"/>
    </row>
    <row r="45" spans="1:7" ht="22.5" customHeight="1">
      <c r="A45" s="446" t="s">
        <v>362</v>
      </c>
      <c r="B45" s="447" t="s">
        <v>122</v>
      </c>
      <c r="C45" s="448" t="s">
        <v>123</v>
      </c>
      <c r="D45" s="450">
        <v>46</v>
      </c>
      <c r="E45" s="449" t="s">
        <v>18</v>
      </c>
      <c r="F45" s="451">
        <v>2240.27</v>
      </c>
      <c r="G45" s="452"/>
    </row>
    <row r="46" spans="1:7" ht="22.5" customHeight="1">
      <c r="A46" s="446" t="s">
        <v>362</v>
      </c>
      <c r="B46" s="447" t="s">
        <v>122</v>
      </c>
      <c r="C46" s="448" t="s">
        <v>123</v>
      </c>
      <c r="D46" s="450">
        <v>44</v>
      </c>
      <c r="E46" s="449" t="s">
        <v>18</v>
      </c>
      <c r="F46" s="451">
        <v>2194.27</v>
      </c>
      <c r="G46" s="452"/>
    </row>
    <row r="47" spans="1:7" ht="22.5" customHeight="1">
      <c r="A47" s="446" t="s">
        <v>362</v>
      </c>
      <c r="B47" s="447" t="s">
        <v>122</v>
      </c>
      <c r="C47" s="448" t="s">
        <v>123</v>
      </c>
      <c r="D47" s="450">
        <v>191</v>
      </c>
      <c r="E47" s="449" t="s">
        <v>18</v>
      </c>
      <c r="F47" s="451">
        <v>2150.27</v>
      </c>
      <c r="G47" s="452"/>
    </row>
    <row r="48" spans="1:7" ht="22.5" customHeight="1">
      <c r="A48" s="446" t="s">
        <v>177</v>
      </c>
      <c r="B48" s="447" t="s">
        <v>149</v>
      </c>
      <c r="C48" s="448" t="s">
        <v>150</v>
      </c>
      <c r="D48" s="449" t="s">
        <v>18</v>
      </c>
      <c r="E48" s="450">
        <v>75</v>
      </c>
      <c r="F48" s="451">
        <v>1959.27</v>
      </c>
      <c r="G48" s="452"/>
    </row>
    <row r="49" spans="1:7" ht="22.5" customHeight="1">
      <c r="A49" s="446" t="s">
        <v>178</v>
      </c>
      <c r="B49" s="447" t="s">
        <v>149</v>
      </c>
      <c r="C49" s="448" t="s">
        <v>150</v>
      </c>
      <c r="D49" s="449" t="s">
        <v>18</v>
      </c>
      <c r="E49" s="450">
        <v>75</v>
      </c>
      <c r="F49" s="451">
        <v>2034.27</v>
      </c>
      <c r="G49" s="452"/>
    </row>
    <row r="50" spans="1:7" ht="22.5" customHeight="1">
      <c r="A50" s="446" t="s">
        <v>178</v>
      </c>
      <c r="B50" s="447" t="s">
        <v>122</v>
      </c>
      <c r="C50" s="448" t="s">
        <v>123</v>
      </c>
      <c r="D50" s="450">
        <v>54</v>
      </c>
      <c r="E50" s="449" t="s">
        <v>18</v>
      </c>
      <c r="F50" s="451">
        <v>2109.27</v>
      </c>
      <c r="G50" s="452"/>
    </row>
    <row r="51" spans="1:7" ht="22.5" customHeight="1">
      <c r="A51" s="446" t="s">
        <v>178</v>
      </c>
      <c r="B51" s="447" t="s">
        <v>122</v>
      </c>
      <c r="C51" s="448" t="s">
        <v>123</v>
      </c>
      <c r="D51" s="450">
        <v>6</v>
      </c>
      <c r="E51" s="449" t="s">
        <v>18</v>
      </c>
      <c r="F51" s="451">
        <v>2055.27</v>
      </c>
      <c r="G51" s="452"/>
    </row>
    <row r="52" spans="1:7" ht="22.5" customHeight="1">
      <c r="A52" s="446" t="s">
        <v>178</v>
      </c>
      <c r="B52" s="447" t="s">
        <v>122</v>
      </c>
      <c r="C52" s="448" t="s">
        <v>123</v>
      </c>
      <c r="D52" s="450">
        <v>171</v>
      </c>
      <c r="E52" s="449" t="s">
        <v>18</v>
      </c>
      <c r="F52" s="451">
        <v>2049.27</v>
      </c>
      <c r="G52" s="452"/>
    </row>
    <row r="53" spans="1:7" ht="22.5" customHeight="1">
      <c r="A53" s="446" t="s">
        <v>179</v>
      </c>
      <c r="B53" s="447" t="s">
        <v>149</v>
      </c>
      <c r="C53" s="448" t="s">
        <v>165</v>
      </c>
      <c r="D53" s="449" t="s">
        <v>18</v>
      </c>
      <c r="E53" s="450">
        <v>50</v>
      </c>
      <c r="F53" s="451">
        <v>1878.27</v>
      </c>
      <c r="G53" s="452"/>
    </row>
    <row r="54" spans="1:7" ht="22.5" customHeight="1">
      <c r="A54" s="446" t="s">
        <v>180</v>
      </c>
      <c r="B54" s="447" t="s">
        <v>124</v>
      </c>
      <c r="C54" s="448" t="s">
        <v>181</v>
      </c>
      <c r="D54" s="449" t="s">
        <v>18</v>
      </c>
      <c r="E54" s="450">
        <v>64.400000000000006</v>
      </c>
      <c r="F54" s="451">
        <v>1928.27</v>
      </c>
      <c r="G54" s="452"/>
    </row>
    <row r="55" spans="1:7" ht="22.5" customHeight="1">
      <c r="A55" s="446" t="s">
        <v>183</v>
      </c>
      <c r="B55" s="447" t="s">
        <v>149</v>
      </c>
      <c r="C55" s="448" t="s">
        <v>150</v>
      </c>
      <c r="D55" s="449" t="s">
        <v>18</v>
      </c>
      <c r="E55" s="450">
        <v>75</v>
      </c>
      <c r="F55" s="451">
        <v>1992.67</v>
      </c>
      <c r="G55" s="452"/>
    </row>
    <row r="56" spans="1:7" ht="22.5" customHeight="1">
      <c r="A56" s="446" t="s">
        <v>184</v>
      </c>
      <c r="B56" s="447" t="s">
        <v>124</v>
      </c>
      <c r="C56" s="448" t="s">
        <v>162</v>
      </c>
      <c r="D56" s="449" t="s">
        <v>18</v>
      </c>
      <c r="E56" s="453">
        <v>87.06</v>
      </c>
      <c r="F56" s="451">
        <v>2067.67</v>
      </c>
      <c r="G56" s="452"/>
    </row>
    <row r="57" spans="1:7" ht="22.5" customHeight="1">
      <c r="A57" s="446" t="s">
        <v>363</v>
      </c>
      <c r="B57" s="447" t="s">
        <v>122</v>
      </c>
      <c r="C57" s="448" t="s">
        <v>123</v>
      </c>
      <c r="D57" s="450">
        <v>42</v>
      </c>
      <c r="E57" s="449" t="s">
        <v>18</v>
      </c>
      <c r="F57" s="451">
        <v>2154.73</v>
      </c>
      <c r="G57" s="452"/>
    </row>
    <row r="58" spans="1:7" ht="22.5" customHeight="1">
      <c r="A58" s="446" t="s">
        <v>185</v>
      </c>
      <c r="B58" s="447" t="s">
        <v>124</v>
      </c>
      <c r="C58" s="448" t="s">
        <v>162</v>
      </c>
      <c r="D58" s="449" t="s">
        <v>18</v>
      </c>
      <c r="E58" s="453">
        <v>39.950000000000003</v>
      </c>
      <c r="F58" s="451">
        <v>2112.73</v>
      </c>
      <c r="G58" s="452"/>
    </row>
    <row r="59" spans="1:7" ht="22.5" customHeight="1">
      <c r="A59" s="446" t="s">
        <v>185</v>
      </c>
      <c r="B59" s="447" t="s">
        <v>122</v>
      </c>
      <c r="C59" s="448" t="s">
        <v>123</v>
      </c>
      <c r="D59" s="450">
        <v>7.4</v>
      </c>
      <c r="E59" s="449" t="s">
        <v>18</v>
      </c>
      <c r="F59" s="451">
        <v>2152.6799999999998</v>
      </c>
      <c r="G59" s="452"/>
    </row>
    <row r="60" spans="1:7" ht="22.5" customHeight="1">
      <c r="A60" s="446" t="s">
        <v>185</v>
      </c>
      <c r="B60" s="447" t="s">
        <v>122</v>
      </c>
      <c r="C60" s="448" t="s">
        <v>123</v>
      </c>
      <c r="D60" s="450">
        <v>10</v>
      </c>
      <c r="E60" s="449" t="s">
        <v>18</v>
      </c>
      <c r="F60" s="451">
        <v>2145.2800000000002</v>
      </c>
      <c r="G60" s="452"/>
    </row>
    <row r="61" spans="1:7" ht="22.5" customHeight="1">
      <c r="A61" s="446" t="s">
        <v>185</v>
      </c>
      <c r="B61" s="447" t="s">
        <v>122</v>
      </c>
      <c r="C61" s="448" t="s">
        <v>123</v>
      </c>
      <c r="D61" s="450">
        <v>28</v>
      </c>
      <c r="E61" s="449" t="s">
        <v>18</v>
      </c>
      <c r="F61" s="451">
        <v>2135.2800000000002</v>
      </c>
      <c r="G61" s="452"/>
    </row>
    <row r="62" spans="1:7" ht="22.5" customHeight="1">
      <c r="A62" s="446" t="s">
        <v>187</v>
      </c>
      <c r="B62" s="447" t="s">
        <v>149</v>
      </c>
      <c r="C62" s="448" t="s">
        <v>150</v>
      </c>
      <c r="D62" s="449" t="s">
        <v>18</v>
      </c>
      <c r="E62" s="450">
        <v>75</v>
      </c>
      <c r="F62" s="451">
        <v>2107.2800000000002</v>
      </c>
      <c r="G62" s="452"/>
    </row>
    <row r="63" spans="1:7" ht="22.5" customHeight="1">
      <c r="A63" s="446" t="s">
        <v>187</v>
      </c>
      <c r="B63" s="447" t="s">
        <v>153</v>
      </c>
      <c r="C63" s="448" t="s">
        <v>188</v>
      </c>
      <c r="D63" s="449" t="s">
        <v>18</v>
      </c>
      <c r="E63" s="450">
        <v>13.2</v>
      </c>
      <c r="F63" s="451">
        <v>2182.2800000000002</v>
      </c>
      <c r="G63" s="452"/>
    </row>
    <row r="64" spans="1:7" ht="22.5" customHeight="1">
      <c r="A64" s="446" t="s">
        <v>141</v>
      </c>
      <c r="B64" s="447" t="s">
        <v>124</v>
      </c>
      <c r="C64" s="448" t="s">
        <v>134</v>
      </c>
      <c r="D64" s="454">
        <v>1200</v>
      </c>
      <c r="E64" s="449" t="s">
        <v>18</v>
      </c>
      <c r="F64" s="451">
        <v>2195.48</v>
      </c>
      <c r="G64" s="452"/>
    </row>
    <row r="65" spans="1:7" ht="22.5" customHeight="1">
      <c r="A65" s="446" t="s">
        <v>189</v>
      </c>
      <c r="B65" s="447" t="s">
        <v>153</v>
      </c>
      <c r="C65" s="448" t="s">
        <v>188</v>
      </c>
      <c r="D65" s="449" t="s">
        <v>18</v>
      </c>
      <c r="E65" s="453">
        <v>131.87</v>
      </c>
      <c r="F65" s="453">
        <v>995.48</v>
      </c>
      <c r="G65" s="452"/>
    </row>
    <row r="66" spans="1:7" ht="22.5" customHeight="1">
      <c r="A66" s="446" t="s">
        <v>190</v>
      </c>
      <c r="B66" s="447" t="s">
        <v>149</v>
      </c>
      <c r="C66" s="448" t="s">
        <v>150</v>
      </c>
      <c r="D66" s="449" t="s">
        <v>18</v>
      </c>
      <c r="E66" s="450">
        <v>75</v>
      </c>
      <c r="F66" s="451">
        <v>1127.3499999999999</v>
      </c>
      <c r="G66" s="452"/>
    </row>
    <row r="67" spans="1:7" ht="22.5" customHeight="1">
      <c r="A67" s="446" t="s">
        <v>191</v>
      </c>
      <c r="B67" s="447" t="s">
        <v>149</v>
      </c>
      <c r="C67" s="448" t="s">
        <v>165</v>
      </c>
      <c r="D67" s="449" t="s">
        <v>18</v>
      </c>
      <c r="E67" s="450">
        <v>50</v>
      </c>
      <c r="F67" s="451">
        <v>1202.3499999999999</v>
      </c>
      <c r="G67" s="452"/>
    </row>
    <row r="68" spans="1:7" ht="22.5" customHeight="1">
      <c r="A68" s="456"/>
      <c r="B68" s="457"/>
      <c r="C68" s="458"/>
      <c r="D68" s="459"/>
      <c r="E68" s="460"/>
      <c r="F68" s="460"/>
      <c r="G68" s="452"/>
    </row>
    <row r="69" spans="1:7" ht="22.5" customHeight="1">
      <c r="A69" s="461" t="s">
        <v>364</v>
      </c>
      <c r="B69" s="462" t="s">
        <v>109</v>
      </c>
      <c r="C69" s="463" t="s">
        <v>116</v>
      </c>
      <c r="D69" s="464">
        <v>0.14000000000000001</v>
      </c>
      <c r="E69" s="465" t="s">
        <v>18</v>
      </c>
      <c r="F69" s="466">
        <v>15681.17</v>
      </c>
      <c r="G69" s="452"/>
    </row>
    <row r="70" spans="1:7" ht="22.5" customHeight="1">
      <c r="A70" s="461" t="s">
        <v>365</v>
      </c>
      <c r="B70" s="462" t="s">
        <v>109</v>
      </c>
      <c r="C70" s="463" t="s">
        <v>117</v>
      </c>
      <c r="D70" s="464">
        <v>0.12</v>
      </c>
      <c r="E70" s="465" t="s">
        <v>18</v>
      </c>
      <c r="F70" s="466">
        <v>15681.03</v>
      </c>
      <c r="G70" s="452"/>
    </row>
    <row r="71" spans="1:7" ht="22.5" customHeight="1">
      <c r="A71" s="461" t="s">
        <v>366</v>
      </c>
      <c r="B71" s="462" t="s">
        <v>109</v>
      </c>
      <c r="C71" s="463" t="s">
        <v>118</v>
      </c>
      <c r="D71" s="464">
        <v>0.12</v>
      </c>
      <c r="E71" s="465" t="s">
        <v>18</v>
      </c>
      <c r="F71" s="466">
        <v>15680.91</v>
      </c>
      <c r="G71" s="452"/>
    </row>
    <row r="72" spans="1:7" ht="22.5" customHeight="1">
      <c r="A72" s="461" t="s">
        <v>367</v>
      </c>
      <c r="B72" s="462" t="s">
        <v>109</v>
      </c>
      <c r="C72" s="463" t="s">
        <v>119</v>
      </c>
      <c r="D72" s="464">
        <v>0.13</v>
      </c>
      <c r="E72" s="465" t="s">
        <v>18</v>
      </c>
      <c r="F72" s="466">
        <v>15680.79</v>
      </c>
      <c r="G72" s="452"/>
    </row>
    <row r="73" spans="1:7" ht="22.5" customHeight="1">
      <c r="A73" s="461" t="s">
        <v>168</v>
      </c>
      <c r="B73" s="462" t="s">
        <v>109</v>
      </c>
      <c r="C73" s="463" t="s">
        <v>120</v>
      </c>
      <c r="D73" s="464">
        <v>0.13</v>
      </c>
      <c r="E73" s="465" t="s">
        <v>18</v>
      </c>
      <c r="F73" s="466">
        <v>15680.66</v>
      </c>
      <c r="G73" s="452"/>
    </row>
    <row r="74" spans="1:7" ht="22.5" customHeight="1">
      <c r="A74" s="461" t="s">
        <v>368</v>
      </c>
      <c r="B74" s="462" t="s">
        <v>109</v>
      </c>
      <c r="C74" s="463" t="s">
        <v>121</v>
      </c>
      <c r="D74" s="464">
        <v>0.13</v>
      </c>
      <c r="E74" s="465" t="s">
        <v>18</v>
      </c>
      <c r="F74" s="466">
        <v>15680.53</v>
      </c>
      <c r="G74" s="452"/>
    </row>
    <row r="75" spans="1:7" ht="22.5" customHeight="1">
      <c r="A75" s="461" t="s">
        <v>369</v>
      </c>
      <c r="B75" s="462" t="s">
        <v>109</v>
      </c>
      <c r="C75" s="463" t="s">
        <v>110</v>
      </c>
      <c r="D75" s="464">
        <v>0.14000000000000001</v>
      </c>
      <c r="E75" s="465" t="s">
        <v>18</v>
      </c>
      <c r="F75" s="467">
        <v>15680.4</v>
      </c>
      <c r="G75" s="452"/>
    </row>
    <row r="76" spans="1:7" ht="22.5" customHeight="1">
      <c r="A76" s="461" t="s">
        <v>370</v>
      </c>
      <c r="B76" s="462" t="s">
        <v>109</v>
      </c>
      <c r="C76" s="463" t="s">
        <v>111</v>
      </c>
      <c r="D76" s="464">
        <v>0.12</v>
      </c>
      <c r="E76" s="465" t="s">
        <v>18</v>
      </c>
      <c r="F76" s="466">
        <v>15680.26</v>
      </c>
      <c r="G76" s="452"/>
    </row>
    <row r="77" spans="1:7" ht="22.5" customHeight="1">
      <c r="A77" s="461" t="s">
        <v>371</v>
      </c>
      <c r="B77" s="462" t="s">
        <v>109</v>
      </c>
      <c r="C77" s="463" t="s">
        <v>112</v>
      </c>
      <c r="D77" s="464">
        <v>0.13</v>
      </c>
      <c r="E77" s="465" t="s">
        <v>18</v>
      </c>
      <c r="F77" s="466">
        <v>15680.14</v>
      </c>
      <c r="G77" s="452"/>
    </row>
    <row r="78" spans="1:7" ht="22.5" customHeight="1">
      <c r="A78" s="461" t="s">
        <v>372</v>
      </c>
      <c r="B78" s="462" t="s">
        <v>109</v>
      </c>
      <c r="C78" s="463" t="s">
        <v>113</v>
      </c>
      <c r="D78" s="464">
        <v>0.14000000000000001</v>
      </c>
      <c r="E78" s="465" t="s">
        <v>18</v>
      </c>
      <c r="F78" s="466">
        <v>15680.01</v>
      </c>
      <c r="G78" s="452"/>
    </row>
    <row r="79" spans="1:7" ht="22.75" customHeight="1">
      <c r="A79" s="461" t="s">
        <v>373</v>
      </c>
      <c r="B79" s="462" t="s">
        <v>109</v>
      </c>
      <c r="C79" s="463" t="s">
        <v>374</v>
      </c>
      <c r="D79" s="464">
        <v>2.4900000000000002</v>
      </c>
      <c r="E79" s="465" t="s">
        <v>18</v>
      </c>
      <c r="F79" s="466">
        <v>15679.87</v>
      </c>
      <c r="G79" s="452"/>
    </row>
    <row r="80" spans="1:7" ht="22.5" customHeight="1">
      <c r="A80" s="461" t="s">
        <v>375</v>
      </c>
      <c r="B80" s="462" t="s">
        <v>109</v>
      </c>
      <c r="C80" s="463" t="s">
        <v>115</v>
      </c>
      <c r="D80" s="464">
        <v>2.71</v>
      </c>
      <c r="E80" s="465" t="s">
        <v>18</v>
      </c>
      <c r="F80" s="466">
        <v>15677.38</v>
      </c>
      <c r="G80" s="452"/>
    </row>
    <row r="81" spans="1:7" ht="22.5" customHeight="1">
      <c r="A81" s="461" t="s">
        <v>141</v>
      </c>
      <c r="B81" s="462" t="s">
        <v>124</v>
      </c>
      <c r="C81" s="463" t="s">
        <v>142</v>
      </c>
      <c r="D81" s="468" t="s">
        <v>18</v>
      </c>
      <c r="E81" s="467">
        <v>1200</v>
      </c>
      <c r="F81" s="460"/>
      <c r="G81" s="452"/>
    </row>
    <row r="82" spans="1:7" ht="22.5" customHeight="1">
      <c r="A82" s="469"/>
      <c r="B82" s="470"/>
      <c r="C82" s="471"/>
      <c r="D82" s="472"/>
      <c r="E82" s="452"/>
      <c r="F82" s="452"/>
      <c r="G82" s="452"/>
    </row>
    <row r="83" spans="1:7" ht="22.5" customHeight="1">
      <c r="A83" s="469"/>
      <c r="B83" s="470"/>
      <c r="C83" s="471"/>
      <c r="D83" s="472"/>
      <c r="E83" s="452"/>
      <c r="F83" s="452"/>
      <c r="G83" s="452"/>
    </row>
    <row r="84" spans="1:7" ht="22.5" customHeight="1">
      <c r="A84" s="469"/>
      <c r="B84" s="470"/>
      <c r="C84" s="471"/>
      <c r="D84" s="472"/>
      <c r="E84" s="452"/>
      <c r="F84" s="452"/>
      <c r="G84" s="452"/>
    </row>
    <row r="85" spans="1:7" ht="22.5" customHeight="1">
      <c r="A85" s="469"/>
      <c r="B85" s="470"/>
      <c r="C85" s="471"/>
      <c r="D85" s="472"/>
      <c r="E85" s="452"/>
      <c r="F85" s="452"/>
      <c r="G85" s="452"/>
    </row>
    <row r="86" spans="1:7" ht="22.5" customHeight="1">
      <c r="A86" s="469"/>
      <c r="B86" s="470"/>
      <c r="C86" s="471"/>
      <c r="D86" s="472"/>
      <c r="E86" s="452"/>
      <c r="F86" s="452"/>
      <c r="G86" s="452"/>
    </row>
    <row r="87" spans="1:7" ht="22.5" customHeight="1">
      <c r="A87" s="469"/>
      <c r="B87" s="470"/>
      <c r="C87" s="471"/>
      <c r="D87" s="472"/>
      <c r="E87" s="452"/>
      <c r="F87" s="452"/>
      <c r="G87" s="452"/>
    </row>
    <row r="88" spans="1:7" ht="22.5" customHeight="1">
      <c r="A88" s="469"/>
      <c r="B88" s="470"/>
      <c r="C88" s="471"/>
      <c r="D88" s="472"/>
      <c r="E88" s="452"/>
      <c r="F88" s="452"/>
      <c r="G88" s="452"/>
    </row>
    <row r="89" spans="1:7" ht="22.5" customHeight="1">
      <c r="A89" s="469"/>
      <c r="B89" s="470"/>
      <c r="C89" s="471"/>
      <c r="D89" s="472"/>
      <c r="E89" s="452"/>
      <c r="F89" s="452"/>
      <c r="G89" s="452"/>
    </row>
    <row r="90" spans="1:7" ht="22.5" customHeight="1">
      <c r="A90" s="469"/>
      <c r="B90" s="470"/>
      <c r="C90" s="471"/>
      <c r="D90" s="472"/>
      <c r="E90" s="452"/>
      <c r="F90" s="452"/>
      <c r="G90" s="452"/>
    </row>
    <row r="91" spans="1:7" ht="22.5" customHeight="1">
      <c r="A91" s="469"/>
      <c r="B91" s="470"/>
      <c r="C91" s="471"/>
      <c r="D91" s="472"/>
      <c r="E91" s="452"/>
      <c r="F91" s="452"/>
      <c r="G91" s="452"/>
    </row>
    <row r="92" spans="1:7" ht="22.5" customHeight="1">
      <c r="A92" s="469"/>
      <c r="B92" s="470"/>
      <c r="C92" s="471"/>
      <c r="D92" s="472"/>
      <c r="E92" s="452"/>
      <c r="F92" s="452"/>
      <c r="G92" s="452"/>
    </row>
    <row r="93" spans="1:7" ht="22.5" customHeight="1">
      <c r="A93" s="469"/>
      <c r="B93" s="470"/>
      <c r="C93" s="471"/>
      <c r="D93" s="472"/>
      <c r="E93" s="452"/>
      <c r="F93" s="452"/>
      <c r="G93" s="452"/>
    </row>
    <row r="94" spans="1:7" ht="22.5" customHeight="1">
      <c r="A94" s="469"/>
      <c r="B94" s="470"/>
      <c r="C94" s="471"/>
      <c r="D94" s="472"/>
      <c r="E94" s="452"/>
      <c r="F94" s="452"/>
      <c r="G94" s="452"/>
    </row>
    <row r="95" spans="1:7" ht="22.5" customHeight="1">
      <c r="A95" s="469"/>
      <c r="B95" s="470"/>
      <c r="C95" s="471"/>
      <c r="D95" s="472"/>
      <c r="E95" s="452"/>
      <c r="F95" s="452"/>
      <c r="G95" s="452"/>
    </row>
    <row r="96" spans="1:7" ht="22.5" customHeight="1">
      <c r="A96" s="469"/>
      <c r="B96" s="470"/>
      <c r="C96" s="471"/>
      <c r="D96" s="472"/>
      <c r="E96" s="452"/>
      <c r="F96" s="452"/>
      <c r="G96" s="452"/>
    </row>
    <row r="97" spans="1:7" ht="22.5" customHeight="1">
      <c r="A97" s="469"/>
      <c r="B97" s="470"/>
      <c r="C97" s="471"/>
      <c r="D97" s="472"/>
      <c r="E97" s="452"/>
      <c r="F97" s="452"/>
      <c r="G97" s="452"/>
    </row>
    <row r="98" spans="1:7" ht="22.5" customHeight="1">
      <c r="A98" s="469"/>
      <c r="B98" s="470"/>
      <c r="C98" s="471"/>
      <c r="D98" s="472"/>
      <c r="E98" s="452"/>
      <c r="F98" s="452"/>
      <c r="G98" s="452"/>
    </row>
    <row r="99" spans="1:7" ht="22.5" customHeight="1">
      <c r="A99" s="469"/>
      <c r="B99" s="470"/>
      <c r="C99" s="471"/>
      <c r="D99" s="472"/>
      <c r="E99" s="452"/>
      <c r="F99" s="452"/>
      <c r="G99" s="452"/>
    </row>
    <row r="100" spans="1:7" ht="22.5" customHeight="1">
      <c r="A100" s="469"/>
      <c r="B100" s="470"/>
      <c r="C100" s="471"/>
      <c r="D100" s="472"/>
      <c r="E100" s="452"/>
      <c r="F100" s="452"/>
      <c r="G100" s="452"/>
    </row>
    <row r="101" spans="1:7" ht="22.5" customHeight="1">
      <c r="A101" s="469"/>
      <c r="B101" s="470"/>
      <c r="C101" s="471"/>
      <c r="D101" s="472"/>
      <c r="E101" s="452"/>
      <c r="F101" s="452"/>
      <c r="G101" s="452"/>
    </row>
    <row r="102" spans="1:7" ht="22.5" customHeight="1">
      <c r="A102" s="469"/>
      <c r="B102" s="470"/>
      <c r="C102" s="471"/>
      <c r="D102" s="472"/>
      <c r="E102" s="452"/>
      <c r="F102" s="452"/>
      <c r="G102" s="452"/>
    </row>
    <row r="103" spans="1:7" ht="22.5" customHeight="1">
      <c r="A103" s="469"/>
      <c r="B103" s="470"/>
      <c r="C103" s="471"/>
      <c r="D103" s="472"/>
      <c r="E103" s="452"/>
      <c r="F103" s="452"/>
      <c r="G103" s="452"/>
    </row>
    <row r="104" spans="1:7" ht="22.5" customHeight="1">
      <c r="A104" s="111"/>
      <c r="B104" s="470"/>
      <c r="C104" s="471"/>
      <c r="D104" s="472"/>
      <c r="E104" s="452"/>
      <c r="F104" s="452"/>
      <c r="G104" s="452"/>
    </row>
    <row r="105" spans="1:7" ht="22.5" customHeight="1">
      <c r="A105" s="111"/>
      <c r="B105" s="470"/>
      <c r="C105" s="471"/>
      <c r="D105" s="472"/>
      <c r="E105" s="452"/>
      <c r="F105" s="452"/>
      <c r="G105" s="452"/>
    </row>
    <row r="106" spans="1:7" ht="22.5" customHeight="1">
      <c r="A106" s="111"/>
      <c r="B106" s="470"/>
      <c r="C106" s="471"/>
      <c r="D106" s="472"/>
      <c r="E106" s="452"/>
      <c r="F106" s="452"/>
      <c r="G106" s="452"/>
    </row>
    <row r="107" spans="1:7" ht="22.5" customHeight="1">
      <c r="A107" s="111"/>
      <c r="B107" s="470"/>
      <c r="C107" s="471"/>
      <c r="D107" s="472"/>
      <c r="E107" s="452"/>
      <c r="F107" s="452"/>
      <c r="G107" s="452"/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8"/>
  <sheetViews>
    <sheetView showGridLines="0" workbookViewId="0">
      <pane ySplit="4" topLeftCell="A49" activePane="bottomLeft" state="frozen"/>
      <selection pane="bottomLeft" activeCell="G24" sqref="G24"/>
    </sheetView>
  </sheetViews>
  <sheetFormatPr baseColWidth="10" defaultColWidth="16.33203125" defaultRowHeight="14" customHeight="1"/>
  <cols>
    <col min="1" max="1" width="17" style="1" customWidth="1"/>
    <col min="2" max="2" width="6.33203125" style="1" customWidth="1"/>
    <col min="3" max="3" width="22.33203125" style="1" customWidth="1"/>
    <col min="4" max="5" width="8" style="1" customWidth="1"/>
    <col min="6" max="6" width="9.1640625" style="1" customWidth="1"/>
    <col min="7" max="7" width="7.6640625" style="1" customWidth="1"/>
    <col min="8" max="8" width="8" style="1" customWidth="1"/>
    <col min="9" max="9" width="8.1640625" style="1" customWidth="1"/>
    <col min="10" max="10" width="7.1640625" style="1" customWidth="1"/>
    <col min="11" max="11" width="5.33203125" style="1" customWidth="1"/>
    <col min="12" max="12" width="6" style="1" bestFit="1" customWidth="1"/>
    <col min="13" max="13" width="8" style="1" bestFit="1" customWidth="1"/>
    <col min="14" max="14" width="6" style="1" customWidth="1"/>
    <col min="15" max="15" width="7.33203125" style="1" bestFit="1" customWidth="1"/>
    <col min="16" max="16" width="6.33203125" style="1" customWidth="1"/>
    <col min="17" max="17" width="5.6640625" style="1" customWidth="1"/>
    <col min="18" max="18" width="7.33203125" style="1" bestFit="1" customWidth="1"/>
    <col min="19" max="19" width="5" style="1" customWidth="1"/>
    <col min="20" max="20" width="5.83203125" style="1" customWidth="1"/>
    <col min="21" max="21" width="6.5" style="1" customWidth="1"/>
    <col min="22" max="16384" width="16.33203125" style="1"/>
  </cols>
  <sheetData>
    <row r="1" spans="1:21" ht="17.25" customHeight="1">
      <c r="A1" s="589" t="s">
        <v>62</v>
      </c>
      <c r="B1" s="590"/>
      <c r="C1" s="591"/>
      <c r="D1" s="591"/>
      <c r="E1" s="591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ht="14.75" customHeight="1">
      <c r="A2" s="73"/>
      <c r="B2" s="70"/>
      <c r="C2" s="71"/>
      <c r="D2" s="74"/>
      <c r="E2" s="74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4.75" customHeight="1">
      <c r="A3" s="75"/>
      <c r="B3" s="593" t="s">
        <v>63</v>
      </c>
      <c r="C3" s="594"/>
      <c r="D3" s="74"/>
      <c r="E3" s="74"/>
      <c r="F3" s="72"/>
      <c r="G3" s="76" t="s">
        <v>64</v>
      </c>
      <c r="H3" s="76" t="s">
        <v>65</v>
      </c>
      <c r="I3" s="76" t="s">
        <v>66</v>
      </c>
      <c r="J3" s="72"/>
      <c r="K3" s="72"/>
      <c r="L3" s="72"/>
      <c r="M3" s="72"/>
      <c r="N3" s="76" t="s">
        <v>16</v>
      </c>
      <c r="O3" s="76"/>
      <c r="P3" s="76"/>
      <c r="Q3" s="72"/>
      <c r="R3" s="72"/>
      <c r="S3" s="72"/>
      <c r="T3" s="72"/>
      <c r="U3" s="72"/>
    </row>
    <row r="4" spans="1:21" ht="26.75" customHeight="1">
      <c r="A4" s="77" t="s">
        <v>67</v>
      </c>
      <c r="B4" s="77" t="s">
        <v>68</v>
      </c>
      <c r="C4" s="77" t="s">
        <v>69</v>
      </c>
      <c r="D4" s="77" t="s">
        <v>8</v>
      </c>
      <c r="E4" s="77"/>
      <c r="F4" s="78" t="s">
        <v>70</v>
      </c>
      <c r="G4" s="79"/>
      <c r="H4" s="79"/>
      <c r="I4" s="78" t="s">
        <v>71</v>
      </c>
      <c r="J4" s="78" t="s">
        <v>10</v>
      </c>
      <c r="K4" s="78" t="s">
        <v>72</v>
      </c>
      <c r="L4" s="78" t="s">
        <v>73</v>
      </c>
      <c r="M4" s="78" t="s">
        <v>15</v>
      </c>
      <c r="N4" s="78" t="s">
        <v>13</v>
      </c>
      <c r="O4" s="78" t="s">
        <v>74</v>
      </c>
      <c r="P4" s="78" t="s">
        <v>17</v>
      </c>
      <c r="Q4" s="78" t="s">
        <v>37</v>
      </c>
      <c r="R4" s="78" t="s">
        <v>21</v>
      </c>
      <c r="S4" s="78" t="s">
        <v>22</v>
      </c>
      <c r="T4" s="78" t="s">
        <v>75</v>
      </c>
      <c r="U4" s="78" t="s">
        <v>76</v>
      </c>
    </row>
    <row r="5" spans="1:21" ht="12.5" customHeight="1">
      <c r="A5" s="80" t="s">
        <v>77</v>
      </c>
      <c r="B5" s="81"/>
      <c r="C5" s="82"/>
      <c r="D5" s="83"/>
      <c r="E5" s="484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5" customHeight="1">
      <c r="A6" s="478"/>
      <c r="B6" s="479"/>
      <c r="C6" s="480"/>
      <c r="D6" s="481"/>
      <c r="E6" s="485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</row>
    <row r="7" spans="1:21" ht="12.25" customHeight="1">
      <c r="A7" s="86">
        <v>44650</v>
      </c>
      <c r="B7" s="87" t="s">
        <v>109</v>
      </c>
      <c r="C7" s="88" t="s">
        <v>482</v>
      </c>
      <c r="D7" s="89">
        <v>0.01</v>
      </c>
      <c r="E7" s="486"/>
      <c r="F7" s="90"/>
      <c r="G7" s="91">
        <f>D7</f>
        <v>0.01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12.25" customHeight="1">
      <c r="A8" s="86">
        <v>44620</v>
      </c>
      <c r="B8" s="87" t="s">
        <v>109</v>
      </c>
      <c r="C8" s="88" t="s">
        <v>197</v>
      </c>
      <c r="D8" s="89">
        <v>0.22</v>
      </c>
      <c r="E8" s="486"/>
      <c r="F8" s="90"/>
      <c r="G8" s="91">
        <f>D8</f>
        <v>0.22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ht="12.25" customHeight="1">
      <c r="A9" s="86">
        <v>44592</v>
      </c>
      <c r="B9" s="87" t="s">
        <v>109</v>
      </c>
      <c r="C9" s="88" t="s">
        <v>198</v>
      </c>
      <c r="D9" s="89">
        <v>0.24</v>
      </c>
      <c r="E9" s="486"/>
      <c r="F9" s="90"/>
      <c r="G9" s="91">
        <f>D9</f>
        <v>0.24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12.25" customHeight="1">
      <c r="A10" s="86">
        <v>44561</v>
      </c>
      <c r="B10" s="87" t="s">
        <v>109</v>
      </c>
      <c r="C10" s="88" t="s">
        <v>119</v>
      </c>
      <c r="D10" s="89">
        <v>0.24</v>
      </c>
      <c r="E10" s="486"/>
      <c r="F10" s="90"/>
      <c r="G10" s="91">
        <f>D10</f>
        <v>0.24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12.25" customHeight="1">
      <c r="A11" s="86">
        <v>44530</v>
      </c>
      <c r="B11" s="87" t="s">
        <v>109</v>
      </c>
      <c r="C11" s="88" t="s">
        <v>120</v>
      </c>
      <c r="D11" s="89">
        <v>0.2</v>
      </c>
      <c r="E11" s="486"/>
      <c r="F11" s="90"/>
      <c r="G11" s="91">
        <f>D11</f>
        <v>0.2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21" ht="12.25" customHeight="1">
      <c r="A12" s="86">
        <v>44512</v>
      </c>
      <c r="B12" s="87" t="s">
        <v>124</v>
      </c>
      <c r="C12" s="88" t="s">
        <v>381</v>
      </c>
      <c r="D12" s="89">
        <v>13000</v>
      </c>
      <c r="E12" s="486"/>
      <c r="F12" s="90"/>
      <c r="G12" s="91"/>
      <c r="H12" s="91">
        <f>D12</f>
        <v>13000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2.25" customHeight="1">
      <c r="A13" s="86">
        <v>44498</v>
      </c>
      <c r="B13" s="87" t="s">
        <v>109</v>
      </c>
      <c r="C13" s="88" t="s">
        <v>382</v>
      </c>
      <c r="D13" s="89">
        <v>0.12</v>
      </c>
      <c r="E13" s="486"/>
      <c r="F13" s="90"/>
      <c r="G13" s="91">
        <f t="shared" ref="G13:G19" si="0">D13</f>
        <v>0.12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12.25" customHeight="1">
      <c r="A14" s="86">
        <v>44469</v>
      </c>
      <c r="B14" s="87" t="s">
        <v>109</v>
      </c>
      <c r="C14" s="88" t="s">
        <v>110</v>
      </c>
      <c r="D14" s="89">
        <v>0.13</v>
      </c>
      <c r="E14" s="486"/>
      <c r="F14" s="90"/>
      <c r="G14" s="91">
        <f t="shared" si="0"/>
        <v>0.13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ht="12.25" customHeight="1">
      <c r="A15" s="86">
        <v>44439</v>
      </c>
      <c r="B15" s="87" t="s">
        <v>109</v>
      </c>
      <c r="C15" s="88" t="s">
        <v>267</v>
      </c>
      <c r="D15" s="89">
        <v>0.14000000000000001</v>
      </c>
      <c r="E15" s="486"/>
      <c r="F15" s="90"/>
      <c r="G15" s="91">
        <f t="shared" si="0"/>
        <v>0.14000000000000001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12.25" customHeight="1">
      <c r="A16" s="86">
        <v>44407</v>
      </c>
      <c r="B16" s="87" t="s">
        <v>109</v>
      </c>
      <c r="C16" s="88" t="s">
        <v>383</v>
      </c>
      <c r="D16" s="89">
        <v>0.13</v>
      </c>
      <c r="E16" s="486"/>
      <c r="F16" s="90"/>
      <c r="G16" s="91">
        <f t="shared" si="0"/>
        <v>0.13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1:21" ht="12.25" customHeight="1">
      <c r="A17" s="86">
        <v>44377</v>
      </c>
      <c r="B17" s="87" t="s">
        <v>109</v>
      </c>
      <c r="C17" s="88" t="s">
        <v>113</v>
      </c>
      <c r="D17" s="89">
        <v>0.14000000000000001</v>
      </c>
      <c r="E17" s="486"/>
      <c r="F17" s="90"/>
      <c r="G17" s="91">
        <f t="shared" si="0"/>
        <v>0.14000000000000001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</row>
    <row r="18" spans="1:21" ht="12.25" customHeight="1">
      <c r="A18" s="86">
        <v>44344</v>
      </c>
      <c r="B18" s="87" t="s">
        <v>109</v>
      </c>
      <c r="C18" s="88" t="s">
        <v>384</v>
      </c>
      <c r="D18" s="89">
        <v>0.12</v>
      </c>
      <c r="E18" s="486"/>
      <c r="F18" s="90"/>
      <c r="G18" s="91">
        <f t="shared" si="0"/>
        <v>0.12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2.25" customHeight="1">
      <c r="A19" s="86">
        <v>44316</v>
      </c>
      <c r="B19" s="87" t="s">
        <v>109</v>
      </c>
      <c r="C19" s="88" t="s">
        <v>115</v>
      </c>
      <c r="D19" s="89">
        <v>0.13</v>
      </c>
      <c r="E19" s="486"/>
      <c r="F19" s="90"/>
      <c r="G19" s="91">
        <f t="shared" si="0"/>
        <v>0.13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ht="12.25" customHeight="1">
      <c r="A20" s="86"/>
      <c r="B20" s="87"/>
      <c r="C20" s="88"/>
      <c r="D20" s="89"/>
      <c r="E20" s="486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21" ht="12.25" customHeight="1">
      <c r="A21" s="95" t="s">
        <v>78</v>
      </c>
      <c r="B21" s="87"/>
      <c r="C21" s="88"/>
      <c r="D21" s="92"/>
      <c r="E21" s="487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3.25" customHeight="1">
      <c r="A22" s="533"/>
      <c r="B22" s="534"/>
      <c r="C22" s="88"/>
      <c r="D22" s="92"/>
      <c r="E22" s="487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2.25" customHeight="1">
      <c r="A23" s="86">
        <v>44651</v>
      </c>
      <c r="B23" s="87" t="s">
        <v>122</v>
      </c>
      <c r="C23" s="88" t="s">
        <v>491</v>
      </c>
      <c r="D23" s="89">
        <v>5000</v>
      </c>
      <c r="E23" s="486"/>
      <c r="F23" s="90" t="s">
        <v>493</v>
      </c>
      <c r="G23" s="91"/>
      <c r="H23" s="91">
        <f>D23</f>
        <v>5000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21" ht="12.25" customHeight="1">
      <c r="A24" s="86">
        <v>44651</v>
      </c>
      <c r="B24" s="87" t="s">
        <v>122</v>
      </c>
      <c r="C24" s="88" t="s">
        <v>492</v>
      </c>
      <c r="D24" s="89">
        <v>5512.48</v>
      </c>
      <c r="E24" s="486"/>
      <c r="F24" s="90" t="s">
        <v>493</v>
      </c>
      <c r="G24" s="91"/>
      <c r="H24" s="91">
        <f>D24-I24-R24</f>
        <v>1733.8499999999997</v>
      </c>
      <c r="I24" s="544">
        <v>2314.39</v>
      </c>
      <c r="J24" s="91"/>
      <c r="K24" s="91"/>
      <c r="L24" s="91"/>
      <c r="M24" s="91"/>
      <c r="N24" s="91"/>
      <c r="O24" s="91"/>
      <c r="P24" s="91"/>
      <c r="Q24" s="91"/>
      <c r="R24" s="544">
        <v>1464.24</v>
      </c>
      <c r="S24" s="91"/>
      <c r="T24" s="91"/>
      <c r="U24" s="91"/>
    </row>
    <row r="25" spans="1:21" ht="12.25" customHeight="1">
      <c r="A25" s="86">
        <v>44648</v>
      </c>
      <c r="B25" s="87" t="s">
        <v>132</v>
      </c>
      <c r="C25" s="88" t="s">
        <v>487</v>
      </c>
      <c r="D25" s="89">
        <v>57</v>
      </c>
      <c r="E25" s="486"/>
      <c r="F25" s="90"/>
      <c r="G25" s="91"/>
      <c r="H25" s="91"/>
      <c r="I25" s="91"/>
      <c r="J25" s="91"/>
      <c r="K25" s="91"/>
      <c r="L25" s="91"/>
      <c r="M25" s="91"/>
      <c r="N25" s="91"/>
      <c r="O25" s="91">
        <f>D25</f>
        <v>57</v>
      </c>
      <c r="P25" s="91"/>
      <c r="Q25" s="91"/>
      <c r="R25" s="91"/>
      <c r="S25" s="91"/>
      <c r="T25" s="91"/>
      <c r="U25" s="91"/>
    </row>
    <row r="26" spans="1:21" ht="12.25" customHeight="1">
      <c r="A26" s="86">
        <v>44641</v>
      </c>
      <c r="B26" s="87" t="s">
        <v>122</v>
      </c>
      <c r="C26" s="88" t="s">
        <v>485</v>
      </c>
      <c r="D26" s="89">
        <v>92.63</v>
      </c>
      <c r="E26" s="486"/>
      <c r="F26" s="90"/>
      <c r="G26" s="91"/>
      <c r="H26" s="91"/>
      <c r="I26" s="91"/>
      <c r="J26" s="91"/>
      <c r="K26" s="91"/>
      <c r="L26" s="91"/>
      <c r="M26" s="91"/>
      <c r="N26" s="91"/>
      <c r="O26" s="91">
        <v>92.63</v>
      </c>
      <c r="P26" s="91"/>
      <c r="Q26" s="91"/>
      <c r="R26" s="91"/>
      <c r="S26" s="91"/>
      <c r="T26" s="91"/>
      <c r="U26" s="91"/>
    </row>
    <row r="27" spans="1:21" ht="12.25" customHeight="1">
      <c r="A27" s="86">
        <v>44636</v>
      </c>
      <c r="B27" s="87" t="s">
        <v>122</v>
      </c>
      <c r="C27" s="88" t="s">
        <v>404</v>
      </c>
      <c r="D27" s="89">
        <v>1.96</v>
      </c>
      <c r="E27" s="486"/>
      <c r="F27" s="90"/>
      <c r="G27" s="91"/>
      <c r="H27" s="91"/>
      <c r="I27" s="91"/>
      <c r="J27" s="91"/>
      <c r="K27" s="91"/>
      <c r="L27" s="91"/>
      <c r="M27" s="91"/>
      <c r="N27" s="91"/>
      <c r="O27" s="91">
        <v>1.96</v>
      </c>
      <c r="P27" s="91"/>
      <c r="Q27" s="91"/>
      <c r="R27" s="91"/>
      <c r="S27" s="91"/>
      <c r="T27" s="91"/>
      <c r="U27" s="91"/>
    </row>
    <row r="28" spans="1:21" ht="12.25" customHeight="1">
      <c r="A28" s="86">
        <v>44622</v>
      </c>
      <c r="B28" s="87" t="s">
        <v>122</v>
      </c>
      <c r="C28" s="88" t="s">
        <v>387</v>
      </c>
      <c r="D28" s="89">
        <v>18</v>
      </c>
      <c r="E28" s="486"/>
      <c r="F28" s="90"/>
      <c r="G28" s="91"/>
      <c r="H28" s="91"/>
      <c r="I28" s="91">
        <f>D28</f>
        <v>18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ht="12.25" customHeight="1">
      <c r="A29" s="86">
        <v>44622</v>
      </c>
      <c r="B29" s="87" t="s">
        <v>122</v>
      </c>
      <c r="C29" s="88" t="s">
        <v>388</v>
      </c>
      <c r="D29" s="89">
        <v>159</v>
      </c>
      <c r="E29" s="486"/>
      <c r="F29" s="90"/>
      <c r="G29" s="91"/>
      <c r="H29" s="91"/>
      <c r="I29" s="91"/>
      <c r="J29" s="91"/>
      <c r="K29" s="91"/>
      <c r="L29" s="91"/>
      <c r="M29" s="91"/>
      <c r="N29" s="91"/>
      <c r="O29" s="91">
        <f>D29</f>
        <v>159</v>
      </c>
      <c r="P29" s="91"/>
      <c r="Q29" s="91"/>
      <c r="R29" s="91"/>
      <c r="S29" s="91"/>
      <c r="T29" s="91"/>
      <c r="U29" s="91"/>
    </row>
    <row r="30" spans="1:21" ht="12.25" customHeight="1">
      <c r="A30" s="86">
        <v>44622</v>
      </c>
      <c r="B30" s="87" t="s">
        <v>122</v>
      </c>
      <c r="C30" s="88" t="s">
        <v>389</v>
      </c>
      <c r="D30" s="89">
        <v>6</v>
      </c>
      <c r="E30" s="486"/>
      <c r="F30" s="90"/>
      <c r="G30" s="91"/>
      <c r="H30" s="91"/>
      <c r="I30" s="91"/>
      <c r="J30" s="91"/>
      <c r="K30" s="91"/>
      <c r="L30" s="91">
        <f>D30</f>
        <v>6</v>
      </c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12.25" customHeight="1">
      <c r="A31" s="86">
        <v>44614</v>
      </c>
      <c r="B31" s="87" t="s">
        <v>122</v>
      </c>
      <c r="C31" s="88" t="s">
        <v>390</v>
      </c>
      <c r="D31" s="89">
        <v>53</v>
      </c>
      <c r="E31" s="486"/>
      <c r="F31" s="90"/>
      <c r="G31" s="91"/>
      <c r="H31" s="91"/>
      <c r="I31" s="91"/>
      <c r="J31" s="91"/>
      <c r="K31" s="91"/>
      <c r="L31" s="91">
        <f>D31</f>
        <v>53</v>
      </c>
      <c r="M31" s="91"/>
      <c r="N31" s="91"/>
      <c r="O31" s="91"/>
      <c r="P31" s="91"/>
      <c r="Q31" s="91"/>
      <c r="R31" s="91"/>
      <c r="S31" s="91"/>
      <c r="T31" s="91"/>
      <c r="U31" s="91"/>
    </row>
    <row r="32" spans="1:21" ht="12.25" customHeight="1">
      <c r="A32" s="86">
        <v>44586</v>
      </c>
      <c r="B32" s="87" t="s">
        <v>122</v>
      </c>
      <c r="C32" s="88" t="s">
        <v>392</v>
      </c>
      <c r="D32" s="89">
        <v>165</v>
      </c>
      <c r="E32" s="486"/>
      <c r="F32" s="90"/>
      <c r="G32" s="91"/>
      <c r="H32" s="91"/>
      <c r="I32" s="91"/>
      <c r="J32" s="91"/>
      <c r="K32" s="91"/>
      <c r="L32" s="91"/>
      <c r="M32" s="91"/>
      <c r="N32" s="91"/>
      <c r="O32" s="91">
        <f>D32</f>
        <v>165</v>
      </c>
      <c r="P32" s="91"/>
      <c r="Q32" s="91"/>
      <c r="R32" s="91"/>
      <c r="S32" s="91"/>
      <c r="T32" s="91"/>
      <c r="U32" s="91"/>
    </row>
    <row r="33" spans="1:21" ht="12.25" customHeight="1">
      <c r="A33" s="86">
        <v>44586</v>
      </c>
      <c r="B33" s="87" t="s">
        <v>122</v>
      </c>
      <c r="C33" s="88" t="s">
        <v>393</v>
      </c>
      <c r="D33" s="89">
        <v>21.1</v>
      </c>
      <c r="E33" s="486"/>
      <c r="F33" s="90"/>
      <c r="G33" s="91"/>
      <c r="H33" s="91"/>
      <c r="I33" s="91"/>
      <c r="J33" s="91"/>
      <c r="K33" s="91"/>
      <c r="L33" s="91">
        <f>D33</f>
        <v>21.1</v>
      </c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12.25" customHeight="1">
      <c r="A34" s="86">
        <v>44586</v>
      </c>
      <c r="B34" s="87" t="s">
        <v>122</v>
      </c>
      <c r="C34" s="88" t="s">
        <v>394</v>
      </c>
      <c r="D34" s="89">
        <v>30</v>
      </c>
      <c r="E34" s="486"/>
      <c r="F34" s="90"/>
      <c r="G34" s="91"/>
      <c r="H34" s="91"/>
      <c r="I34" s="91">
        <f>D34</f>
        <v>30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2.25" customHeight="1">
      <c r="A35" s="86">
        <v>44540</v>
      </c>
      <c r="B35" s="87" t="s">
        <v>122</v>
      </c>
      <c r="C35" s="88" t="s">
        <v>402</v>
      </c>
      <c r="D35" s="89">
        <v>50</v>
      </c>
      <c r="E35" s="486"/>
      <c r="F35" s="90"/>
      <c r="G35" s="91"/>
      <c r="H35" s="91"/>
      <c r="I35" s="91"/>
      <c r="J35" s="91">
        <v>50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ht="12.25" customHeight="1">
      <c r="A36" s="86">
        <v>44525</v>
      </c>
      <c r="B36" s="87" t="s">
        <v>122</v>
      </c>
      <c r="C36" s="88" t="s">
        <v>404</v>
      </c>
      <c r="D36" s="89">
        <v>29.47</v>
      </c>
      <c r="E36" s="486"/>
      <c r="F36" s="90"/>
      <c r="G36" s="91"/>
      <c r="H36" s="91"/>
      <c r="I36" s="91">
        <f>D36</f>
        <v>29.47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ht="12.25" customHeight="1">
      <c r="A37" s="86">
        <v>44523</v>
      </c>
      <c r="B37" s="87" t="s">
        <v>122</v>
      </c>
      <c r="C37" s="88" t="s">
        <v>404</v>
      </c>
      <c r="D37" s="89">
        <v>41.26</v>
      </c>
      <c r="E37" s="486"/>
      <c r="F37" s="90"/>
      <c r="G37" s="91"/>
      <c r="H37" s="91"/>
      <c r="I37" s="91">
        <f>D37</f>
        <v>41.26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ht="12.25" customHeight="1">
      <c r="A38" s="86">
        <v>44522</v>
      </c>
      <c r="B38" s="87" t="s">
        <v>122</v>
      </c>
      <c r="C38" s="88" t="s">
        <v>405</v>
      </c>
      <c r="D38" s="89">
        <v>217.14</v>
      </c>
      <c r="E38" s="486"/>
      <c r="F38" s="90"/>
      <c r="G38" s="91"/>
      <c r="H38" s="91"/>
      <c r="I38" s="91"/>
      <c r="J38" s="91"/>
      <c r="K38" s="91"/>
      <c r="L38" s="91"/>
      <c r="M38" s="91"/>
      <c r="N38" s="91"/>
      <c r="O38" s="91">
        <f>D38</f>
        <v>217.14</v>
      </c>
      <c r="P38" s="91"/>
      <c r="Q38" s="91"/>
      <c r="R38" s="91"/>
      <c r="S38" s="91"/>
      <c r="T38" s="91"/>
      <c r="U38" s="91"/>
    </row>
    <row r="39" spans="1:21" ht="12.25" customHeight="1">
      <c r="A39" s="86">
        <v>44522</v>
      </c>
      <c r="B39" s="87" t="s">
        <v>122</v>
      </c>
      <c r="C39" s="88" t="s">
        <v>406</v>
      </c>
      <c r="D39" s="89">
        <v>16</v>
      </c>
      <c r="E39" s="486"/>
      <c r="F39" s="90"/>
      <c r="G39" s="91"/>
      <c r="H39" s="91"/>
      <c r="I39" s="91">
        <v>16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ht="12.25" customHeight="1">
      <c r="A40" s="86">
        <v>44519</v>
      </c>
      <c r="B40" s="87" t="s">
        <v>122</v>
      </c>
      <c r="C40" s="88" t="s">
        <v>404</v>
      </c>
      <c r="D40" s="89">
        <v>47.15</v>
      </c>
      <c r="E40" s="486"/>
      <c r="F40" s="90"/>
      <c r="G40" s="91"/>
      <c r="H40" s="91"/>
      <c r="I40" s="91">
        <f>D40</f>
        <v>47.15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ht="12.25" customHeight="1">
      <c r="A41" s="86">
        <v>44517</v>
      </c>
      <c r="B41" s="87" t="s">
        <v>122</v>
      </c>
      <c r="C41" s="88" t="s">
        <v>407</v>
      </c>
      <c r="D41" s="89">
        <v>15</v>
      </c>
      <c r="E41" s="486"/>
      <c r="F41" s="90"/>
      <c r="G41" s="91"/>
      <c r="H41" s="91"/>
      <c r="I41" s="91"/>
      <c r="J41" s="91"/>
      <c r="K41" s="91"/>
      <c r="L41" s="91">
        <v>15</v>
      </c>
      <c r="M41" s="91"/>
      <c r="N41" s="91"/>
      <c r="O41" s="91"/>
      <c r="P41" s="91"/>
      <c r="Q41" s="91"/>
      <c r="R41" s="91"/>
      <c r="S41" s="91"/>
      <c r="T41" s="91"/>
      <c r="U41" s="91"/>
    </row>
    <row r="42" spans="1:21" ht="12.25" customHeight="1">
      <c r="A42" s="86">
        <v>44512</v>
      </c>
      <c r="B42" s="87" t="s">
        <v>122</v>
      </c>
      <c r="C42" s="88" t="s">
        <v>404</v>
      </c>
      <c r="D42" s="89">
        <v>35.36</v>
      </c>
      <c r="E42" s="486"/>
      <c r="F42" s="90"/>
      <c r="G42" s="91"/>
      <c r="H42" s="91"/>
      <c r="I42" s="91">
        <f>D42</f>
        <v>35.36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ht="12.25" customHeight="1">
      <c r="A43" s="86">
        <v>44508</v>
      </c>
      <c r="B43" s="87" t="s">
        <v>122</v>
      </c>
      <c r="C43" s="88" t="s">
        <v>404</v>
      </c>
      <c r="D43" s="89">
        <v>29.47</v>
      </c>
      <c r="E43" s="486"/>
      <c r="F43" s="90"/>
      <c r="G43" s="91"/>
      <c r="H43" s="91"/>
      <c r="I43" s="91">
        <f>D43</f>
        <v>29.47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ht="12.25" customHeight="1">
      <c r="A44" s="86">
        <v>44508</v>
      </c>
      <c r="B44" s="87" t="s">
        <v>122</v>
      </c>
      <c r="C44" s="88" t="s">
        <v>418</v>
      </c>
      <c r="D44" s="89">
        <v>6000</v>
      </c>
      <c r="E44" s="486"/>
      <c r="F44" s="90"/>
      <c r="G44" s="91"/>
      <c r="H44" s="91"/>
      <c r="I44" s="91"/>
      <c r="J44" s="91"/>
      <c r="K44" s="91"/>
      <c r="L44" s="91"/>
      <c r="M44" s="91">
        <v>6000</v>
      </c>
      <c r="N44" s="91"/>
      <c r="O44" s="91"/>
      <c r="P44" s="91"/>
      <c r="Q44" s="91"/>
      <c r="R44" s="91"/>
      <c r="S44" s="91"/>
      <c r="T44" s="91"/>
      <c r="U44" s="91"/>
    </row>
    <row r="45" spans="1:21" ht="12.25" customHeight="1">
      <c r="A45" s="86">
        <v>44498</v>
      </c>
      <c r="B45" s="87" t="s">
        <v>122</v>
      </c>
      <c r="C45" s="88" t="s">
        <v>404</v>
      </c>
      <c r="D45" s="89">
        <v>35.36</v>
      </c>
      <c r="E45" s="486"/>
      <c r="F45" s="90"/>
      <c r="G45" s="91"/>
      <c r="H45" s="91"/>
      <c r="I45" s="91">
        <f>D45</f>
        <v>35.36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ht="12.25" customHeight="1">
      <c r="A46" s="86">
        <v>44489</v>
      </c>
      <c r="B46" s="87" t="s">
        <v>122</v>
      </c>
      <c r="C46" s="88" t="s">
        <v>422</v>
      </c>
      <c r="D46" s="89">
        <v>130</v>
      </c>
      <c r="E46" s="486"/>
      <c r="F46" s="90"/>
      <c r="G46" s="91"/>
      <c r="H46" s="91"/>
      <c r="I46" s="91"/>
      <c r="J46" s="91"/>
      <c r="K46" s="91"/>
      <c r="L46" s="91"/>
      <c r="M46" s="91"/>
      <c r="N46" s="91"/>
      <c r="O46" s="91">
        <v>130</v>
      </c>
      <c r="P46" s="91"/>
      <c r="Q46" s="91"/>
      <c r="R46" s="91"/>
      <c r="S46" s="91"/>
      <c r="T46" s="91"/>
      <c r="U46" s="91"/>
    </row>
    <row r="47" spans="1:21" ht="12.25" customHeight="1">
      <c r="A47" s="86">
        <v>44489</v>
      </c>
      <c r="B47" s="87" t="s">
        <v>122</v>
      </c>
      <c r="C47" s="88" t="s">
        <v>423</v>
      </c>
      <c r="D47" s="89">
        <v>40</v>
      </c>
      <c r="E47" s="486"/>
      <c r="F47" s="90"/>
      <c r="G47" s="91"/>
      <c r="H47" s="91"/>
      <c r="I47" s="91"/>
      <c r="J47" s="91"/>
      <c r="K47" s="91"/>
      <c r="L47" s="91">
        <v>40</v>
      </c>
      <c r="M47" s="91"/>
      <c r="N47" s="91"/>
      <c r="O47" s="91"/>
      <c r="P47" s="91"/>
      <c r="Q47" s="91"/>
      <c r="R47" s="91"/>
      <c r="S47" s="91"/>
      <c r="T47" s="91"/>
      <c r="U47" s="91"/>
    </row>
    <row r="48" spans="1:21" ht="12.25" customHeight="1">
      <c r="A48" s="86">
        <v>44489</v>
      </c>
      <c r="B48" s="87" t="s">
        <v>122</v>
      </c>
      <c r="C48" s="88" t="s">
        <v>424</v>
      </c>
      <c r="D48" s="89">
        <v>2</v>
      </c>
      <c r="E48" s="486"/>
      <c r="F48" s="90"/>
      <c r="G48" s="91"/>
      <c r="H48" s="91"/>
      <c r="I48" s="91"/>
      <c r="J48" s="91">
        <v>2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1:21" ht="12.25" customHeight="1">
      <c r="A49" s="86">
        <v>44481</v>
      </c>
      <c r="B49" s="87" t="s">
        <v>122</v>
      </c>
      <c r="C49" s="88" t="s">
        <v>426</v>
      </c>
      <c r="D49" s="89">
        <v>6000</v>
      </c>
      <c r="E49" s="486"/>
      <c r="F49" s="90"/>
      <c r="G49" s="91"/>
      <c r="H49" s="91"/>
      <c r="I49" s="91"/>
      <c r="J49" s="91"/>
      <c r="K49" s="91"/>
      <c r="L49" s="91"/>
      <c r="M49" s="91">
        <v>6000</v>
      </c>
      <c r="N49" s="91"/>
      <c r="O49" s="91"/>
      <c r="P49" s="91"/>
      <c r="Q49" s="91"/>
      <c r="R49" s="91"/>
      <c r="S49" s="91"/>
      <c r="T49" s="91"/>
      <c r="U49" s="91"/>
    </row>
    <row r="50" spans="1:21" ht="12.25" customHeight="1">
      <c r="A50" s="86">
        <v>44475</v>
      </c>
      <c r="B50" s="87" t="s">
        <v>122</v>
      </c>
      <c r="C50" s="88" t="s">
        <v>429</v>
      </c>
      <c r="D50" s="89">
        <v>45</v>
      </c>
      <c r="E50" s="486"/>
      <c r="F50" s="90"/>
      <c r="G50" s="91"/>
      <c r="H50" s="91"/>
      <c r="I50" s="91"/>
      <c r="J50" s="91"/>
      <c r="K50" s="91"/>
      <c r="L50" s="91">
        <v>45</v>
      </c>
      <c r="M50" s="91"/>
      <c r="N50" s="91"/>
      <c r="O50" s="91"/>
      <c r="P50" s="91"/>
      <c r="Q50" s="91"/>
      <c r="R50" s="91"/>
      <c r="S50" s="91"/>
      <c r="T50" s="91"/>
      <c r="U50" s="91"/>
    </row>
    <row r="51" spans="1:21" ht="12.25" customHeight="1">
      <c r="A51" s="86">
        <v>44462</v>
      </c>
      <c r="B51" s="87" t="s">
        <v>122</v>
      </c>
      <c r="C51" s="88" t="s">
        <v>404</v>
      </c>
      <c r="D51" s="89">
        <v>24.55</v>
      </c>
      <c r="E51" s="486"/>
      <c r="F51" s="90"/>
      <c r="G51" s="91"/>
      <c r="H51" s="91"/>
      <c r="I51" s="91">
        <f>D51</f>
        <v>24.55</v>
      </c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1:21" ht="12.25" customHeight="1">
      <c r="A52" s="86">
        <v>44459</v>
      </c>
      <c r="B52" s="87" t="s">
        <v>122</v>
      </c>
      <c r="C52" s="88" t="s">
        <v>436</v>
      </c>
      <c r="D52" s="89">
        <v>12</v>
      </c>
      <c r="E52" s="486"/>
      <c r="F52" s="90"/>
      <c r="G52" s="91"/>
      <c r="H52" s="91"/>
      <c r="I52" s="91">
        <v>12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1:21" ht="12.25" customHeight="1">
      <c r="A53" s="86">
        <v>44459</v>
      </c>
      <c r="B53" s="87" t="s">
        <v>122</v>
      </c>
      <c r="C53" s="88" t="s">
        <v>437</v>
      </c>
      <c r="D53" s="89">
        <v>213</v>
      </c>
      <c r="E53" s="486"/>
      <c r="F53" s="90"/>
      <c r="G53" s="91"/>
      <c r="H53" s="91"/>
      <c r="I53" s="91"/>
      <c r="J53" s="91"/>
      <c r="K53" s="91"/>
      <c r="L53" s="91"/>
      <c r="M53" s="91"/>
      <c r="N53" s="91"/>
      <c r="O53" s="91">
        <v>213</v>
      </c>
      <c r="P53" s="91"/>
      <c r="Q53" s="91"/>
      <c r="R53" s="91"/>
      <c r="S53" s="91"/>
      <c r="T53" s="91"/>
      <c r="U53" s="91"/>
    </row>
    <row r="54" spans="1:21" ht="12.25" customHeight="1">
      <c r="A54" s="86">
        <v>44459</v>
      </c>
      <c r="B54" s="87" t="s">
        <v>122</v>
      </c>
      <c r="C54" s="88" t="s">
        <v>438</v>
      </c>
      <c r="D54" s="89">
        <v>460</v>
      </c>
      <c r="E54" s="486"/>
      <c r="F54" s="90"/>
      <c r="G54" s="91"/>
      <c r="H54" s="91"/>
      <c r="I54" s="91"/>
      <c r="J54" s="91"/>
      <c r="K54" s="91"/>
      <c r="L54" s="91"/>
      <c r="M54" s="91"/>
      <c r="N54" s="91">
        <v>460</v>
      </c>
      <c r="O54" s="91"/>
      <c r="P54" s="91"/>
      <c r="Q54" s="91"/>
      <c r="R54" s="91"/>
      <c r="S54" s="91"/>
      <c r="T54" s="91"/>
      <c r="U54" s="91"/>
    </row>
    <row r="55" spans="1:21" ht="12.25" customHeight="1">
      <c r="A55" s="86">
        <v>44459</v>
      </c>
      <c r="B55" s="87" t="s">
        <v>122</v>
      </c>
      <c r="C55" s="88" t="s">
        <v>439</v>
      </c>
      <c r="D55" s="89">
        <v>7.9</v>
      </c>
      <c r="E55" s="486"/>
      <c r="F55" s="90"/>
      <c r="G55" s="91"/>
      <c r="H55" s="91"/>
      <c r="I55" s="91"/>
      <c r="J55" s="91"/>
      <c r="K55" s="91"/>
      <c r="L55" s="91">
        <f>D55</f>
        <v>7.9</v>
      </c>
      <c r="M55" s="91"/>
      <c r="N55" s="91"/>
      <c r="O55" s="91"/>
      <c r="P55" s="91"/>
      <c r="Q55" s="91"/>
      <c r="R55" s="91"/>
      <c r="S55" s="91"/>
      <c r="T55" s="91"/>
      <c r="U55" s="91"/>
    </row>
    <row r="56" spans="1:21" ht="12.25" customHeight="1">
      <c r="A56" s="86">
        <v>44459</v>
      </c>
      <c r="B56" s="87" t="s">
        <v>122</v>
      </c>
      <c r="C56" s="88" t="s">
        <v>440</v>
      </c>
      <c r="D56" s="89">
        <v>8</v>
      </c>
      <c r="E56" s="486"/>
      <c r="F56" s="90"/>
      <c r="G56" s="91"/>
      <c r="H56" s="91"/>
      <c r="I56" s="91"/>
      <c r="J56" s="91">
        <v>8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1:21" ht="12.25" customHeight="1">
      <c r="A57" s="86">
        <v>44417</v>
      </c>
      <c r="B57" s="87" t="s">
        <v>122</v>
      </c>
      <c r="C57" s="88" t="s">
        <v>445</v>
      </c>
      <c r="D57" s="89">
        <v>48</v>
      </c>
      <c r="E57" s="486"/>
      <c r="F57" s="90"/>
      <c r="G57" s="91"/>
      <c r="H57" s="91"/>
      <c r="I57" s="91">
        <v>48</v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1:21" ht="12.25" customHeight="1">
      <c r="A58" s="86">
        <v>44417</v>
      </c>
      <c r="B58" s="87" t="s">
        <v>122</v>
      </c>
      <c r="C58" s="88" t="s">
        <v>446</v>
      </c>
      <c r="D58" s="89">
        <v>324</v>
      </c>
      <c r="E58" s="486"/>
      <c r="F58" s="90"/>
      <c r="G58" s="91"/>
      <c r="H58" s="91"/>
      <c r="I58" s="91"/>
      <c r="J58" s="91"/>
      <c r="K58" s="91"/>
      <c r="L58" s="91"/>
      <c r="M58" s="91"/>
      <c r="N58" s="91"/>
      <c r="O58" s="91">
        <v>324</v>
      </c>
      <c r="P58" s="91"/>
      <c r="Q58" s="91"/>
      <c r="R58" s="91"/>
      <c r="S58" s="91"/>
      <c r="T58" s="91"/>
      <c r="U58" s="91"/>
    </row>
    <row r="59" spans="1:21" ht="12.25" customHeight="1">
      <c r="A59" s="86">
        <v>44417</v>
      </c>
      <c r="B59" s="87" t="s">
        <v>122</v>
      </c>
      <c r="C59" s="88" t="s">
        <v>447</v>
      </c>
      <c r="D59" s="89">
        <v>75.55</v>
      </c>
      <c r="E59" s="486"/>
      <c r="F59" s="90"/>
      <c r="G59" s="91"/>
      <c r="H59" s="91"/>
      <c r="I59" s="91"/>
      <c r="J59" s="91"/>
      <c r="K59" s="91"/>
      <c r="L59" s="91">
        <f>D59</f>
        <v>75.55</v>
      </c>
      <c r="M59" s="91"/>
      <c r="N59" s="91"/>
      <c r="O59" s="91"/>
      <c r="P59" s="91"/>
      <c r="Q59" s="91"/>
      <c r="R59" s="91"/>
      <c r="S59" s="91"/>
      <c r="T59" s="91"/>
      <c r="U59" s="91"/>
    </row>
    <row r="60" spans="1:21" ht="12.25" customHeight="1">
      <c r="A60" s="86">
        <v>44405</v>
      </c>
      <c r="B60" s="87" t="s">
        <v>132</v>
      </c>
      <c r="C60" s="88">
        <v>100352</v>
      </c>
      <c r="D60" s="89">
        <v>24</v>
      </c>
      <c r="E60" s="486"/>
      <c r="F60" s="90"/>
      <c r="G60" s="91"/>
      <c r="H60" s="91"/>
      <c r="I60" s="91">
        <v>24</v>
      </c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1:21" ht="12.25" customHeight="1">
      <c r="A61" s="86">
        <v>44376</v>
      </c>
      <c r="B61" s="87" t="s">
        <v>122</v>
      </c>
      <c r="C61" s="88" t="s">
        <v>453</v>
      </c>
      <c r="D61" s="89">
        <v>2000</v>
      </c>
      <c r="E61" s="486"/>
      <c r="F61" s="90"/>
      <c r="G61" s="91"/>
      <c r="H61" s="91"/>
      <c r="I61" s="91"/>
      <c r="J61" s="91"/>
      <c r="K61" s="91"/>
      <c r="L61" s="91"/>
      <c r="M61" s="91">
        <v>2000</v>
      </c>
      <c r="N61" s="91"/>
      <c r="O61" s="91"/>
      <c r="P61" s="91"/>
      <c r="Q61" s="91"/>
      <c r="R61" s="91"/>
      <c r="S61" s="91"/>
      <c r="T61" s="91"/>
      <c r="U61" s="91"/>
    </row>
    <row r="62" spans="1:21" ht="12.25" customHeight="1">
      <c r="A62" s="86">
        <v>44376</v>
      </c>
      <c r="B62" s="87" t="s">
        <v>122</v>
      </c>
      <c r="C62" s="88" t="s">
        <v>454</v>
      </c>
      <c r="D62" s="89">
        <v>2000</v>
      </c>
      <c r="E62" s="486"/>
      <c r="F62" s="90"/>
      <c r="G62" s="91"/>
      <c r="H62" s="91"/>
      <c r="I62" s="91"/>
      <c r="J62" s="91"/>
      <c r="K62" s="91"/>
      <c r="L62" s="91"/>
      <c r="M62" s="91">
        <v>2000</v>
      </c>
      <c r="N62" s="91"/>
      <c r="O62" s="91"/>
      <c r="P62" s="91"/>
      <c r="Q62" s="91"/>
      <c r="R62" s="91"/>
      <c r="S62" s="91"/>
      <c r="T62" s="91"/>
      <c r="U62" s="91"/>
    </row>
    <row r="63" spans="1:21" ht="12.25" customHeight="1">
      <c r="A63" s="86">
        <v>44368</v>
      </c>
      <c r="B63" s="87" t="s">
        <v>122</v>
      </c>
      <c r="C63" s="88" t="s">
        <v>456</v>
      </c>
      <c r="D63" s="89">
        <v>12</v>
      </c>
      <c r="E63" s="486"/>
      <c r="F63" s="90"/>
      <c r="G63" s="91"/>
      <c r="H63" s="91"/>
      <c r="I63" s="91"/>
      <c r="J63" s="91"/>
      <c r="K63" s="91"/>
      <c r="L63" s="91">
        <v>12</v>
      </c>
      <c r="M63" s="91"/>
      <c r="N63" s="91"/>
      <c r="O63" s="91"/>
      <c r="P63" s="91"/>
      <c r="Q63" s="91"/>
      <c r="R63" s="91"/>
      <c r="S63" s="91"/>
      <c r="T63" s="91"/>
      <c r="U63" s="91"/>
    </row>
    <row r="64" spans="1:21" ht="12.25" customHeight="1">
      <c r="A64" s="86">
        <v>44354</v>
      </c>
      <c r="B64" s="87" t="s">
        <v>122</v>
      </c>
      <c r="C64" s="88" t="s">
        <v>460</v>
      </c>
      <c r="D64" s="89">
        <v>11</v>
      </c>
      <c r="E64" s="486"/>
      <c r="F64" s="90"/>
      <c r="G64" s="91"/>
      <c r="H64" s="91"/>
      <c r="I64" s="91">
        <v>11</v>
      </c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1:21" ht="12.25" customHeight="1">
      <c r="A65" s="86">
        <v>44354</v>
      </c>
      <c r="B65" s="87" t="s">
        <v>122</v>
      </c>
      <c r="C65" s="88" t="s">
        <v>461</v>
      </c>
      <c r="D65" s="89">
        <v>267</v>
      </c>
      <c r="E65" s="486"/>
      <c r="F65" s="90"/>
      <c r="G65" s="91"/>
      <c r="H65" s="91"/>
      <c r="I65" s="91"/>
      <c r="J65" s="91"/>
      <c r="K65" s="91"/>
      <c r="L65" s="91"/>
      <c r="M65" s="91"/>
      <c r="N65" s="91"/>
      <c r="O65" s="91">
        <f>D65</f>
        <v>267</v>
      </c>
      <c r="P65" s="91"/>
      <c r="Q65" s="91"/>
      <c r="R65" s="91"/>
      <c r="S65" s="91"/>
      <c r="T65" s="91"/>
      <c r="U65" s="91"/>
    </row>
    <row r="66" spans="1:21" ht="12.25" customHeight="1">
      <c r="A66" s="86">
        <v>44333</v>
      </c>
      <c r="B66" s="87" t="s">
        <v>122</v>
      </c>
      <c r="C66" s="88" t="s">
        <v>465</v>
      </c>
      <c r="D66" s="89">
        <v>95</v>
      </c>
      <c r="E66" s="486"/>
      <c r="F66" s="90"/>
      <c r="G66" s="91"/>
      <c r="H66" s="91"/>
      <c r="I66" s="91"/>
      <c r="J66" s="91"/>
      <c r="K66" s="91">
        <v>95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1:21" ht="12.25" customHeight="1">
      <c r="A67" s="86">
        <v>44320</v>
      </c>
      <c r="B67" s="87" t="s">
        <v>122</v>
      </c>
      <c r="C67" s="88" t="s">
        <v>468</v>
      </c>
      <c r="D67" s="89">
        <v>169.05</v>
      </c>
      <c r="E67" s="486"/>
      <c r="F67" s="90"/>
      <c r="G67" s="91"/>
      <c r="H67" s="91"/>
      <c r="I67" s="91"/>
      <c r="J67" s="91"/>
      <c r="K67" s="91"/>
      <c r="L67" s="91"/>
      <c r="M67" s="91"/>
      <c r="N67" s="91"/>
      <c r="O67" s="91">
        <f>D67</f>
        <v>169.05</v>
      </c>
      <c r="P67" s="91"/>
      <c r="Q67" s="91"/>
      <c r="R67" s="91"/>
      <c r="S67" s="91"/>
      <c r="T67" s="91"/>
      <c r="U67" s="91"/>
    </row>
    <row r="68" spans="1:21" ht="12.25" customHeight="1">
      <c r="A68" s="86">
        <v>44320</v>
      </c>
      <c r="B68" s="87" t="s">
        <v>122</v>
      </c>
      <c r="C68" s="88" t="s">
        <v>469</v>
      </c>
      <c r="D68" s="89">
        <v>76</v>
      </c>
      <c r="E68" s="486"/>
      <c r="F68" s="90"/>
      <c r="G68" s="91"/>
      <c r="H68" s="91"/>
      <c r="I68" s="91">
        <v>76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1:21" ht="12.25" customHeight="1">
      <c r="A69" s="86">
        <v>44305</v>
      </c>
      <c r="B69" s="87" t="s">
        <v>122</v>
      </c>
      <c r="C69" s="88" t="s">
        <v>470</v>
      </c>
      <c r="D69" s="89">
        <v>104</v>
      </c>
      <c r="E69" s="486"/>
      <c r="F69" s="90"/>
      <c r="G69" s="91"/>
      <c r="H69" s="91"/>
      <c r="I69" s="91">
        <f>D69</f>
        <v>104</v>
      </c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1:21" ht="12.25" customHeight="1">
      <c r="A70" s="86">
        <v>44305</v>
      </c>
      <c r="B70" s="87" t="s">
        <v>122</v>
      </c>
      <c r="C70" s="88" t="s">
        <v>471</v>
      </c>
      <c r="D70" s="89">
        <v>115</v>
      </c>
      <c r="E70" s="486"/>
      <c r="F70" s="90"/>
      <c r="G70" s="91"/>
      <c r="H70" s="91"/>
      <c r="I70" s="91"/>
      <c r="J70" s="91"/>
      <c r="K70" s="91"/>
      <c r="L70" s="91"/>
      <c r="M70" s="91"/>
      <c r="N70" s="91"/>
      <c r="O70" s="91">
        <f>D70</f>
        <v>115</v>
      </c>
      <c r="P70" s="91"/>
      <c r="Q70" s="91"/>
      <c r="R70" s="91"/>
      <c r="S70" s="91"/>
      <c r="T70" s="91"/>
      <c r="U70" s="91"/>
    </row>
    <row r="71" spans="1:21" ht="12.25" customHeight="1">
      <c r="A71" s="86"/>
      <c r="B71" s="87"/>
      <c r="C71" s="88"/>
      <c r="D71" s="89"/>
      <c r="E71" s="486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1:21" ht="12.25" customHeight="1">
      <c r="A72" s="86"/>
      <c r="B72" s="87"/>
      <c r="C72" s="88"/>
      <c r="D72" s="495">
        <f>SUM(D7:D71)</f>
        <v>42897.250000000007</v>
      </c>
      <c r="E72" s="486"/>
      <c r="F72" s="90"/>
      <c r="G72" s="494">
        <f>SUM(G6:G71)</f>
        <v>1.8199999999999998</v>
      </c>
      <c r="H72" s="535">
        <f t="shared" ref="H72:P72" si="1">SUM(H6:H71)</f>
        <v>19733.849999999999</v>
      </c>
      <c r="I72" s="494">
        <f>SUM(I6:I71)</f>
        <v>2896.01</v>
      </c>
      <c r="J72" s="494">
        <f t="shared" si="1"/>
        <v>60</v>
      </c>
      <c r="K72" s="494">
        <f t="shared" si="1"/>
        <v>95</v>
      </c>
      <c r="L72" s="494">
        <f t="shared" si="1"/>
        <v>275.55</v>
      </c>
      <c r="M72" s="494">
        <f t="shared" si="1"/>
        <v>16000</v>
      </c>
      <c r="N72" s="494">
        <f t="shared" si="1"/>
        <v>460</v>
      </c>
      <c r="O72" s="494">
        <f t="shared" si="1"/>
        <v>1910.78</v>
      </c>
      <c r="P72" s="494">
        <f t="shared" si="1"/>
        <v>0</v>
      </c>
      <c r="Q72" s="494">
        <f t="shared" ref="Q72" si="2">SUM(Q6:Q71)</f>
        <v>0</v>
      </c>
      <c r="R72" s="494">
        <f t="shared" ref="R72" si="3">SUM(R6:R71)</f>
        <v>1464.24</v>
      </c>
      <c r="S72" s="494">
        <f t="shared" ref="S72" si="4">SUM(S6:S71)</f>
        <v>0</v>
      </c>
      <c r="T72" s="494">
        <f t="shared" ref="T72" si="5">SUM(T6:T71)</f>
        <v>0</v>
      </c>
      <c r="U72" s="494">
        <f t="shared" ref="U72" si="6">SUM(U6:U71)</f>
        <v>0</v>
      </c>
    </row>
    <row r="73" spans="1:21" ht="12.25" customHeight="1">
      <c r="A73" s="86"/>
      <c r="B73" s="87"/>
      <c r="C73" s="88"/>
      <c r="D73" s="89"/>
      <c r="E73" s="486"/>
      <c r="F73" s="90"/>
      <c r="G73" s="91"/>
      <c r="H73" s="91"/>
      <c r="I73" s="91"/>
      <c r="J73" s="91"/>
      <c r="K73" s="91"/>
      <c r="L73" s="91"/>
      <c r="M73" s="91"/>
      <c r="N73" s="91"/>
      <c r="O73" s="91"/>
      <c r="P73" s="494"/>
      <c r="Q73" s="494"/>
      <c r="R73" s="494"/>
      <c r="S73" s="494"/>
      <c r="T73" s="494"/>
      <c r="U73" s="494"/>
    </row>
    <row r="74" spans="1:21" ht="12.25" customHeight="1">
      <c r="A74" s="86"/>
      <c r="B74" s="87"/>
      <c r="C74" s="88" t="s">
        <v>490</v>
      </c>
      <c r="D74" s="89">
        <f>D72-SUM(G72:U72)</f>
        <v>0</v>
      </c>
      <c r="E74" s="486"/>
      <c r="F74" s="90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1:21" ht="12.25" customHeight="1">
      <c r="A75" s="86"/>
      <c r="B75" s="87"/>
      <c r="C75" s="88"/>
      <c r="D75" s="89"/>
      <c r="E75" s="486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1:21" ht="12.25" customHeight="1">
      <c r="A76" s="86"/>
      <c r="B76" s="87"/>
      <c r="C76" s="88"/>
      <c r="D76" s="89"/>
      <c r="E76" s="486"/>
      <c r="F76" s="90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1:21" ht="12.25" customHeight="1">
      <c r="A77" s="86"/>
      <c r="B77" s="87"/>
      <c r="C77" s="88"/>
      <c r="D77" s="89"/>
      <c r="E77" s="486"/>
      <c r="F77" s="90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1:21" ht="12.25" customHeight="1">
      <c r="A78" s="86"/>
      <c r="B78" s="87"/>
      <c r="C78" s="88"/>
      <c r="D78" s="89"/>
      <c r="E78" s="486"/>
      <c r="F78" s="90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</sheetData>
  <mergeCells count="2">
    <mergeCell ref="A1:U1"/>
    <mergeCell ref="B3:C3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88"/>
  <sheetViews>
    <sheetView showGridLines="0" zoomScale="90" zoomScaleNormal="90" workbookViewId="0">
      <pane ySplit="4" topLeftCell="A5" activePane="bottomLeft" state="frozen"/>
      <selection pane="bottomLeft" sqref="A1:XFD1048576"/>
    </sheetView>
  </sheetViews>
  <sheetFormatPr baseColWidth="10" defaultColWidth="16.33203125" defaultRowHeight="14" customHeight="1"/>
  <cols>
    <col min="1" max="1" width="16.33203125" style="1" customWidth="1"/>
    <col min="2" max="2" width="10.83203125" style="1" customWidth="1"/>
    <col min="3" max="3" width="87.6640625" style="1" bestFit="1" customWidth="1"/>
    <col min="4" max="5" width="11.1640625" style="1" customWidth="1"/>
    <col min="6" max="6" width="8.6640625" style="1" bestFit="1" customWidth="1"/>
    <col min="7" max="7" width="7" style="1" bestFit="1" customWidth="1"/>
    <col min="8" max="8" width="6.33203125" style="1" customWidth="1"/>
    <col min="9" max="9" width="8.1640625" style="1" customWidth="1"/>
    <col min="10" max="10" width="6.1640625" style="1" customWidth="1"/>
    <col min="11" max="11" width="6.33203125" style="1" customWidth="1"/>
    <col min="12" max="12" width="7.5" style="1" customWidth="1"/>
    <col min="13" max="13" width="6.5" style="1" customWidth="1"/>
    <col min="14" max="14" width="7.5" style="1" customWidth="1"/>
    <col min="15" max="15" width="5.5" style="1" customWidth="1"/>
    <col min="16" max="16" width="8" style="1" customWidth="1"/>
    <col min="17" max="17" width="8.1640625" style="1" customWidth="1"/>
    <col min="18" max="18" width="6" style="1" customWidth="1"/>
    <col min="19" max="19" width="6.33203125" style="1" bestFit="1" customWidth="1"/>
    <col min="20" max="20" width="6.6640625" style="1" customWidth="1"/>
    <col min="21" max="21" width="7.6640625" style="1" bestFit="1" customWidth="1"/>
    <col min="22" max="22" width="4.33203125" style="1" bestFit="1" customWidth="1"/>
    <col min="23" max="23" width="6.1640625" style="1" bestFit="1" customWidth="1"/>
    <col min="24" max="24" width="9.1640625" style="1" customWidth="1"/>
    <col min="25" max="25" width="9" style="1" customWidth="1"/>
    <col min="26" max="26" width="7.1640625" style="1" customWidth="1"/>
    <col min="27" max="27" width="7.6640625" style="1" customWidth="1"/>
    <col min="28" max="28" width="4.83203125" style="1" customWidth="1"/>
    <col min="29" max="29" width="7.83203125" style="1" customWidth="1"/>
    <col min="30" max="30" width="4.5" style="1" customWidth="1"/>
    <col min="31" max="31" width="6.33203125" style="1" customWidth="1"/>
    <col min="32" max="32" width="12" style="1" customWidth="1"/>
    <col min="33" max="33" width="11.1640625" style="1" customWidth="1"/>
    <col min="34" max="34" width="16.33203125" style="1" customWidth="1"/>
    <col min="35" max="16384" width="16.33203125" style="1"/>
  </cols>
  <sheetData>
    <row r="1" spans="1:33" ht="14.75" customHeight="1">
      <c r="A1" s="595" t="s">
        <v>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</row>
    <row r="2" spans="1:33" ht="13.25" customHeight="1">
      <c r="A2" s="596" t="s">
        <v>89</v>
      </c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114"/>
    </row>
    <row r="3" spans="1:33" ht="24" customHeight="1">
      <c r="A3" s="116" t="s">
        <v>67</v>
      </c>
      <c r="B3" s="158" t="s">
        <v>68</v>
      </c>
      <c r="C3" s="116" t="s">
        <v>90</v>
      </c>
      <c r="D3" s="116" t="s">
        <v>138</v>
      </c>
      <c r="E3" s="159"/>
      <c r="F3" s="116" t="s">
        <v>65</v>
      </c>
      <c r="G3" s="115"/>
      <c r="H3" s="115"/>
      <c r="I3" s="115"/>
      <c r="J3" s="116" t="s">
        <v>16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 t="s">
        <v>40</v>
      </c>
      <c r="X3" s="115"/>
      <c r="Y3" s="115"/>
      <c r="Z3" s="115"/>
      <c r="AA3" s="115"/>
      <c r="AB3" s="115"/>
      <c r="AC3" s="115"/>
      <c r="AD3" s="115"/>
      <c r="AE3" s="115"/>
      <c r="AF3" s="115"/>
      <c r="AG3" s="116"/>
    </row>
    <row r="4" spans="1:33" ht="35.25" customHeight="1">
      <c r="A4" s="160"/>
      <c r="B4" s="161"/>
      <c r="C4" s="160"/>
      <c r="D4" s="160"/>
      <c r="E4" s="162"/>
      <c r="F4" s="160"/>
      <c r="G4" s="160" t="s">
        <v>71</v>
      </c>
      <c r="H4" s="160" t="s">
        <v>91</v>
      </c>
      <c r="I4" s="160" t="s">
        <v>31</v>
      </c>
      <c r="J4" s="160" t="s">
        <v>13</v>
      </c>
      <c r="K4" s="160" t="s">
        <v>92</v>
      </c>
      <c r="L4" s="160" t="s">
        <v>93</v>
      </c>
      <c r="M4" s="160" t="s">
        <v>489</v>
      </c>
      <c r="N4" s="160" t="s">
        <v>17</v>
      </c>
      <c r="O4" s="160" t="s">
        <v>22</v>
      </c>
      <c r="P4" s="160" t="s">
        <v>139</v>
      </c>
      <c r="Q4" s="160" t="s">
        <v>95</v>
      </c>
      <c r="R4" s="160" t="s">
        <v>96</v>
      </c>
      <c r="S4" s="160" t="s">
        <v>37</v>
      </c>
      <c r="T4" s="160" t="s">
        <v>97</v>
      </c>
      <c r="U4" s="160" t="s">
        <v>21</v>
      </c>
      <c r="V4" s="160" t="s">
        <v>98</v>
      </c>
      <c r="W4" s="160" t="s">
        <v>99</v>
      </c>
      <c r="X4" s="160" t="s">
        <v>100</v>
      </c>
      <c r="Y4" s="160" t="s">
        <v>101</v>
      </c>
      <c r="Z4" s="160" t="s">
        <v>102</v>
      </c>
      <c r="AA4" s="160" t="s">
        <v>103</v>
      </c>
      <c r="AB4" s="160" t="s">
        <v>48</v>
      </c>
      <c r="AC4" s="160" t="s">
        <v>140</v>
      </c>
      <c r="AD4" s="160" t="s">
        <v>50</v>
      </c>
      <c r="AE4" s="160" t="s">
        <v>488</v>
      </c>
      <c r="AF4" s="160" t="s">
        <v>104</v>
      </c>
      <c r="AG4" s="160" t="s">
        <v>76</v>
      </c>
    </row>
    <row r="5" spans="1:33" ht="13.25" customHeight="1">
      <c r="A5" s="118" t="s">
        <v>105</v>
      </c>
      <c r="B5" s="117"/>
      <c r="C5" s="118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63"/>
    </row>
    <row r="6" spans="1:33" ht="13.25" customHeight="1">
      <c r="A6" s="489"/>
      <c r="B6" s="488"/>
      <c r="C6" s="489"/>
      <c r="D6" s="490"/>
      <c r="E6" s="491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492"/>
    </row>
    <row r="7" spans="1:33" ht="13.25" customHeight="1">
      <c r="A7" s="429">
        <v>44650</v>
      </c>
      <c r="B7" s="131" t="s">
        <v>124</v>
      </c>
      <c r="C7" s="164" t="s">
        <v>481</v>
      </c>
      <c r="D7" s="490">
        <v>1440</v>
      </c>
      <c r="E7" s="16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>
        <f>D7</f>
        <v>1440</v>
      </c>
      <c r="V7" s="125"/>
      <c r="W7" s="128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3" ht="13.25" customHeight="1">
      <c r="A8" s="429">
        <v>44636</v>
      </c>
      <c r="B8" s="131" t="s">
        <v>124</v>
      </c>
      <c r="C8" s="164" t="s">
        <v>483</v>
      </c>
      <c r="D8" s="490">
        <v>742.5</v>
      </c>
      <c r="E8" s="16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8"/>
      <c r="X8" s="125">
        <v>742.5</v>
      </c>
      <c r="Y8" s="125"/>
      <c r="Z8" s="125"/>
      <c r="AA8" s="125"/>
      <c r="AB8" s="125"/>
      <c r="AC8" s="125"/>
      <c r="AD8" s="125"/>
      <c r="AE8" s="125"/>
      <c r="AF8" s="125"/>
      <c r="AG8" s="125"/>
    </row>
    <row r="9" spans="1:33" ht="13.25" customHeight="1">
      <c r="A9" s="429">
        <v>44624</v>
      </c>
      <c r="B9" s="131" t="s">
        <v>124</v>
      </c>
      <c r="C9" s="164" t="s">
        <v>376</v>
      </c>
      <c r="D9" s="490">
        <v>216</v>
      </c>
      <c r="E9" s="16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8"/>
      <c r="X9" s="125"/>
      <c r="Y9" s="125"/>
      <c r="Z9" s="125"/>
      <c r="AA9" s="125"/>
      <c r="AB9" s="125"/>
      <c r="AC9" s="125"/>
      <c r="AD9" s="125"/>
      <c r="AE9" s="532">
        <v>216</v>
      </c>
      <c r="AF9" s="125"/>
      <c r="AG9" s="125"/>
    </row>
    <row r="10" spans="1:33" ht="13.25" customHeight="1">
      <c r="A10" s="429">
        <v>44624</v>
      </c>
      <c r="B10" s="131" t="s">
        <v>124</v>
      </c>
      <c r="C10" s="164" t="s">
        <v>377</v>
      </c>
      <c r="D10" s="490">
        <v>8.9</v>
      </c>
      <c r="E10" s="16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>
        <v>8.9</v>
      </c>
      <c r="U10" s="125"/>
      <c r="V10" s="125"/>
      <c r="W10" s="128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</row>
    <row r="11" spans="1:33" ht="13.25" customHeight="1">
      <c r="A11" s="429">
        <v>44620</v>
      </c>
      <c r="B11" s="131" t="s">
        <v>124</v>
      </c>
      <c r="C11" s="164" t="s">
        <v>378</v>
      </c>
      <c r="D11" s="490">
        <v>50</v>
      </c>
      <c r="E11" s="16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8"/>
      <c r="X11" s="125"/>
      <c r="Y11" s="125"/>
      <c r="Z11" s="125"/>
      <c r="AA11" s="125"/>
      <c r="AB11" s="125"/>
      <c r="AC11" s="125"/>
      <c r="AD11" s="125"/>
      <c r="AE11" s="125"/>
      <c r="AF11" s="125">
        <f t="shared" ref="AF11:AF12" si="0">D11</f>
        <v>50</v>
      </c>
      <c r="AG11" s="125"/>
    </row>
    <row r="12" spans="1:33" ht="13.25" customHeight="1">
      <c r="A12" s="429">
        <v>44616</v>
      </c>
      <c r="B12" s="131" t="s">
        <v>124</v>
      </c>
      <c r="C12" s="164" t="s">
        <v>379</v>
      </c>
      <c r="D12" s="490">
        <v>40</v>
      </c>
      <c r="E12" s="16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8"/>
      <c r="X12" s="125"/>
      <c r="Y12" s="125"/>
      <c r="Z12" s="125"/>
      <c r="AA12" s="125"/>
      <c r="AB12" s="125"/>
      <c r="AC12" s="125"/>
      <c r="AD12" s="125"/>
      <c r="AE12" s="125"/>
      <c r="AF12" s="125">
        <f t="shared" si="0"/>
        <v>40</v>
      </c>
      <c r="AG12" s="125"/>
    </row>
    <row r="13" spans="1:33" ht="13.25" customHeight="1">
      <c r="A13" s="429">
        <v>44615</v>
      </c>
      <c r="B13" s="131" t="s">
        <v>124</v>
      </c>
      <c r="C13" s="164" t="s">
        <v>380</v>
      </c>
      <c r="D13" s="490">
        <v>100</v>
      </c>
      <c r="E13" s="16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8"/>
      <c r="X13" s="125"/>
      <c r="Y13" s="125"/>
      <c r="Z13" s="125"/>
      <c r="AA13" s="125"/>
      <c r="AB13" s="125"/>
      <c r="AC13" s="125"/>
      <c r="AD13" s="125"/>
      <c r="AE13" s="125"/>
      <c r="AF13" s="125">
        <f>D13</f>
        <v>100</v>
      </c>
      <c r="AG13" s="125"/>
    </row>
    <row r="14" spans="1:33" ht="13.25" customHeight="1">
      <c r="A14" s="489"/>
      <c r="B14" s="488"/>
      <c r="C14" s="489"/>
      <c r="D14" s="490"/>
      <c r="E14" s="49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492"/>
    </row>
    <row r="15" spans="1:33" ht="13.25" customHeight="1">
      <c r="A15" s="489"/>
      <c r="B15" s="488"/>
      <c r="C15" s="489"/>
      <c r="D15" s="490"/>
      <c r="E15" s="49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492"/>
    </row>
    <row r="16" spans="1:33" ht="13.25" customHeight="1">
      <c r="A16" s="123"/>
      <c r="B16" s="122"/>
      <c r="C16" s="123"/>
      <c r="D16" s="126"/>
      <c r="E16" s="127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3.25" customHeight="1">
      <c r="A17" s="164" t="s">
        <v>106</v>
      </c>
      <c r="B17" s="122"/>
      <c r="C17" s="123"/>
      <c r="D17" s="126"/>
      <c r="E17" s="127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1:33" ht="13.25" customHeight="1">
      <c r="A18" s="429">
        <v>44627</v>
      </c>
      <c r="B18" s="131" t="s">
        <v>149</v>
      </c>
      <c r="C18" s="164" t="s">
        <v>386</v>
      </c>
      <c r="D18" s="126">
        <v>75</v>
      </c>
      <c r="E18" s="16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8"/>
      <c r="X18" s="125"/>
      <c r="Y18" s="125"/>
      <c r="Z18" s="125"/>
      <c r="AA18" s="125">
        <f>D18</f>
        <v>75</v>
      </c>
      <c r="AB18" s="125"/>
      <c r="AC18" s="125"/>
      <c r="AD18" s="125"/>
      <c r="AE18" s="125"/>
      <c r="AF18" s="125"/>
      <c r="AG18" s="125"/>
    </row>
    <row r="19" spans="1:33" ht="13.25" customHeight="1">
      <c r="A19" s="429">
        <v>44599</v>
      </c>
      <c r="B19" s="131" t="s">
        <v>149</v>
      </c>
      <c r="C19" s="164" t="s">
        <v>391</v>
      </c>
      <c r="D19" s="126">
        <v>75</v>
      </c>
      <c r="E19" s="16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8"/>
      <c r="X19" s="125"/>
      <c r="Y19" s="125"/>
      <c r="Z19" s="125"/>
      <c r="AA19" s="125">
        <f>D19</f>
        <v>75</v>
      </c>
      <c r="AB19" s="125"/>
      <c r="AC19" s="125"/>
      <c r="AD19" s="125"/>
      <c r="AE19" s="125"/>
      <c r="AF19" s="125"/>
      <c r="AG19" s="125"/>
    </row>
    <row r="20" spans="1:33" ht="13.25" customHeight="1">
      <c r="A20" s="429">
        <v>44571</v>
      </c>
      <c r="B20" s="131" t="s">
        <v>124</v>
      </c>
      <c r="C20" s="164" t="s">
        <v>395</v>
      </c>
      <c r="D20" s="126">
        <v>130.80000000000001</v>
      </c>
      <c r="E20" s="16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>
        <f>D20</f>
        <v>130.80000000000001</v>
      </c>
      <c r="T20" s="125"/>
      <c r="U20" s="125"/>
      <c r="V20" s="125"/>
      <c r="W20" s="128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1:33" ht="13.25" customHeight="1">
      <c r="A21" s="429">
        <v>44566</v>
      </c>
      <c r="B21" s="131" t="s">
        <v>149</v>
      </c>
      <c r="C21" s="164" t="s">
        <v>396</v>
      </c>
      <c r="D21" s="126">
        <v>75</v>
      </c>
      <c r="E21" s="16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8"/>
      <c r="X21" s="125"/>
      <c r="Y21" s="125"/>
      <c r="Z21" s="125"/>
      <c r="AA21" s="125">
        <f>D21</f>
        <v>75</v>
      </c>
      <c r="AB21" s="125"/>
      <c r="AC21" s="125"/>
      <c r="AD21" s="125"/>
      <c r="AE21" s="125"/>
      <c r="AF21" s="125"/>
      <c r="AG21" s="125"/>
    </row>
    <row r="22" spans="1:33" ht="13.25" customHeight="1">
      <c r="A22" s="429">
        <v>44565</v>
      </c>
      <c r="B22" s="131" t="s">
        <v>149</v>
      </c>
      <c r="C22" s="164" t="s">
        <v>397</v>
      </c>
      <c r="D22" s="126">
        <v>50</v>
      </c>
      <c r="E22" s="165"/>
      <c r="F22" s="125"/>
      <c r="G22" s="125"/>
      <c r="H22" s="125"/>
      <c r="I22" s="125">
        <f>D22</f>
        <v>50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8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</row>
    <row r="23" spans="1:33" ht="13.25" customHeight="1">
      <c r="A23" s="429">
        <v>44560</v>
      </c>
      <c r="B23" s="131" t="s">
        <v>124</v>
      </c>
      <c r="C23" s="164" t="s">
        <v>398</v>
      </c>
      <c r="D23" s="126">
        <v>198</v>
      </c>
      <c r="E23" s="16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8"/>
      <c r="X23" s="125">
        <f>D23</f>
        <v>198</v>
      </c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1:33" ht="13.25" customHeight="1">
      <c r="A24" s="429">
        <v>44550</v>
      </c>
      <c r="B24" s="131" t="s">
        <v>124</v>
      </c>
      <c r="C24" s="164" t="s">
        <v>399</v>
      </c>
      <c r="D24" s="126">
        <v>435.7</v>
      </c>
      <c r="E24" s="16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>
        <v>400</v>
      </c>
      <c r="R24" s="125"/>
      <c r="S24" s="125">
        <v>35.700000000000003</v>
      </c>
      <c r="T24" s="125"/>
      <c r="U24" s="125"/>
      <c r="V24" s="125"/>
      <c r="W24" s="128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1:33" ht="13.25" customHeight="1">
      <c r="A25" s="429">
        <v>44550</v>
      </c>
      <c r="B25" s="131" t="s">
        <v>124</v>
      </c>
      <c r="C25" s="164" t="s">
        <v>400</v>
      </c>
      <c r="D25" s="126">
        <v>41.85</v>
      </c>
      <c r="E25" s="16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8"/>
      <c r="X25" s="125">
        <f>D25</f>
        <v>41.85</v>
      </c>
      <c r="Y25" s="125"/>
      <c r="Z25" s="125"/>
      <c r="AA25" s="125"/>
      <c r="AB25" s="125"/>
      <c r="AC25" s="125"/>
      <c r="AD25" s="125"/>
      <c r="AE25" s="125"/>
      <c r="AF25" s="125"/>
      <c r="AG25" s="125"/>
    </row>
    <row r="26" spans="1:33" ht="13.25" customHeight="1">
      <c r="A26" s="429">
        <v>44544</v>
      </c>
      <c r="B26" s="131" t="s">
        <v>153</v>
      </c>
      <c r="C26" s="164" t="s">
        <v>401</v>
      </c>
      <c r="D26" s="126">
        <v>13.19</v>
      </c>
      <c r="E26" s="16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8"/>
      <c r="X26" s="125"/>
      <c r="Y26" s="125"/>
      <c r="Z26" s="125"/>
      <c r="AA26" s="125"/>
      <c r="AB26" s="125"/>
      <c r="AC26" s="125"/>
      <c r="AD26" s="125"/>
      <c r="AE26" s="125">
        <f>D26</f>
        <v>13.19</v>
      </c>
      <c r="AF26" s="125"/>
      <c r="AG26" s="125"/>
    </row>
    <row r="27" spans="1:33" ht="13.25" customHeight="1">
      <c r="A27" s="429">
        <v>44536</v>
      </c>
      <c r="B27" s="131" t="s">
        <v>149</v>
      </c>
      <c r="C27" s="164" t="s">
        <v>403</v>
      </c>
      <c r="D27" s="126">
        <v>75</v>
      </c>
      <c r="E27" s="16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8"/>
      <c r="X27" s="125"/>
      <c r="Y27" s="125"/>
      <c r="Z27" s="125"/>
      <c r="AA27" s="125">
        <f>D27</f>
        <v>75</v>
      </c>
      <c r="AB27" s="125"/>
      <c r="AC27" s="125"/>
      <c r="AD27" s="125"/>
      <c r="AE27" s="125"/>
      <c r="AF27" s="125"/>
      <c r="AG27" s="125"/>
    </row>
    <row r="28" spans="1:33" ht="13.25" customHeight="1">
      <c r="A28" s="429">
        <v>44516</v>
      </c>
      <c r="B28" s="131" t="s">
        <v>153</v>
      </c>
      <c r="C28" s="164" t="s">
        <v>408</v>
      </c>
      <c r="D28" s="126">
        <v>13.19</v>
      </c>
      <c r="E28" s="16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8"/>
      <c r="X28" s="125"/>
      <c r="Y28" s="125"/>
      <c r="Z28" s="125"/>
      <c r="AA28" s="125"/>
      <c r="AB28" s="125"/>
      <c r="AC28" s="125"/>
      <c r="AD28" s="125"/>
      <c r="AE28" s="125">
        <v>13.19</v>
      </c>
      <c r="AF28" s="125"/>
      <c r="AG28" s="125"/>
    </row>
    <row r="29" spans="1:33" ht="13.25" customHeight="1">
      <c r="A29" s="429">
        <v>44512</v>
      </c>
      <c r="B29" s="131" t="s">
        <v>124</v>
      </c>
      <c r="C29" s="164" t="s">
        <v>409</v>
      </c>
      <c r="D29" s="126">
        <v>14.4</v>
      </c>
      <c r="E29" s="16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8"/>
      <c r="X29" s="125"/>
      <c r="Y29" s="125"/>
      <c r="Z29" s="125"/>
      <c r="AA29" s="125"/>
      <c r="AB29" s="125"/>
      <c r="AC29" s="125"/>
      <c r="AD29" s="125"/>
      <c r="AE29" s="125"/>
      <c r="AF29" s="125"/>
      <c r="AG29" s="125">
        <f>14.4</f>
        <v>14.4</v>
      </c>
    </row>
    <row r="30" spans="1:33" ht="13.25" customHeight="1">
      <c r="A30" s="429">
        <v>44512</v>
      </c>
      <c r="B30" s="131" t="s">
        <v>124</v>
      </c>
      <c r="C30" s="164" t="s">
        <v>410</v>
      </c>
      <c r="D30" s="126">
        <v>100</v>
      </c>
      <c r="E30" s="16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>
        <f>D30</f>
        <v>100</v>
      </c>
      <c r="R30" s="125"/>
      <c r="S30" s="125"/>
      <c r="T30" s="125"/>
      <c r="U30" s="125"/>
      <c r="V30" s="125"/>
      <c r="W30" s="128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ht="13.25" customHeight="1">
      <c r="A31" s="429">
        <v>44512</v>
      </c>
      <c r="B31" s="131" t="s">
        <v>124</v>
      </c>
      <c r="C31" s="164" t="s">
        <v>411</v>
      </c>
      <c r="D31" s="126">
        <v>450</v>
      </c>
      <c r="E31" s="16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>
        <f t="shared" ref="Q31:Q33" si="1">D31</f>
        <v>450</v>
      </c>
      <c r="R31" s="125"/>
      <c r="S31" s="125"/>
      <c r="T31" s="125"/>
      <c r="U31" s="125"/>
      <c r="V31" s="125"/>
      <c r="W31" s="128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</row>
    <row r="32" spans="1:33" ht="13.25" customHeight="1">
      <c r="A32" s="429">
        <v>44512</v>
      </c>
      <c r="B32" s="131" t="s">
        <v>124</v>
      </c>
      <c r="C32" s="164" t="s">
        <v>412</v>
      </c>
      <c r="D32" s="126">
        <v>450</v>
      </c>
      <c r="E32" s="16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>
        <f t="shared" si="1"/>
        <v>450</v>
      </c>
      <c r="R32" s="125"/>
      <c r="S32" s="125"/>
      <c r="T32" s="125"/>
      <c r="U32" s="125"/>
      <c r="V32" s="125"/>
      <c r="W32" s="128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</row>
    <row r="33" spans="1:33" ht="13.25" customHeight="1">
      <c r="A33" s="429">
        <v>44512</v>
      </c>
      <c r="B33" s="131" t="s">
        <v>124</v>
      </c>
      <c r="C33" s="164" t="s">
        <v>413</v>
      </c>
      <c r="D33" s="126">
        <v>350</v>
      </c>
      <c r="E33" s="16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>
        <f t="shared" si="1"/>
        <v>350</v>
      </c>
      <c r="R33" s="125"/>
      <c r="S33" s="125"/>
      <c r="T33" s="125"/>
      <c r="U33" s="125"/>
      <c r="V33" s="125"/>
      <c r="W33" s="128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</row>
    <row r="34" spans="1:33" ht="13.25" customHeight="1">
      <c r="A34" s="429">
        <v>44512</v>
      </c>
      <c r="B34" s="131" t="s">
        <v>124</v>
      </c>
      <c r="C34" s="164" t="s">
        <v>414</v>
      </c>
      <c r="D34" s="126">
        <v>183.2</v>
      </c>
      <c r="E34" s="16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>
        <f>D34</f>
        <v>183.2</v>
      </c>
      <c r="T34" s="125"/>
      <c r="U34" s="125"/>
      <c r="V34" s="125"/>
      <c r="W34" s="128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1:33" ht="13.25" customHeight="1">
      <c r="A35" s="429">
        <v>44512</v>
      </c>
      <c r="B35" s="131" t="s">
        <v>124</v>
      </c>
      <c r="C35" s="164" t="s">
        <v>415</v>
      </c>
      <c r="D35" s="126">
        <v>607.5</v>
      </c>
      <c r="E35" s="16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8"/>
      <c r="X35" s="125">
        <f>D35</f>
        <v>607.5</v>
      </c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3" ht="13.25" customHeight="1">
      <c r="A36" s="429">
        <v>44512</v>
      </c>
      <c r="B36" s="131" t="s">
        <v>124</v>
      </c>
      <c r="C36" s="164" t="s">
        <v>416</v>
      </c>
      <c r="D36" s="126">
        <v>150</v>
      </c>
      <c r="E36" s="16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>
        <f>D36</f>
        <v>150</v>
      </c>
      <c r="R36" s="125"/>
      <c r="S36" s="125"/>
      <c r="T36" s="125"/>
      <c r="U36" s="125"/>
      <c r="V36" s="125"/>
      <c r="W36" s="128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:33" ht="13.25" customHeight="1">
      <c r="A37" s="429">
        <v>44512</v>
      </c>
      <c r="B37" s="131" t="s">
        <v>124</v>
      </c>
      <c r="C37" s="164" t="s">
        <v>417</v>
      </c>
      <c r="D37" s="126">
        <v>13000</v>
      </c>
      <c r="E37" s="165"/>
      <c r="F37" s="125">
        <v>13000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8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1:33" ht="13.25" customHeight="1">
      <c r="A38" s="429">
        <v>44505</v>
      </c>
      <c r="B38" s="131" t="s">
        <v>149</v>
      </c>
      <c r="C38" s="164" t="s">
        <v>419</v>
      </c>
      <c r="D38" s="126">
        <v>75</v>
      </c>
      <c r="E38" s="16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8"/>
      <c r="X38" s="125"/>
      <c r="Y38" s="125"/>
      <c r="Z38" s="125"/>
      <c r="AA38" s="125">
        <f>D38</f>
        <v>75</v>
      </c>
      <c r="AB38" s="125"/>
      <c r="AC38" s="125"/>
      <c r="AD38" s="125"/>
      <c r="AE38" s="125"/>
      <c r="AF38" s="125"/>
      <c r="AG38" s="125"/>
    </row>
    <row r="39" spans="1:33" ht="13.25" customHeight="1">
      <c r="A39" s="429">
        <v>44503</v>
      </c>
      <c r="B39" s="131" t="s">
        <v>124</v>
      </c>
      <c r="C39" s="164" t="s">
        <v>420</v>
      </c>
      <c r="D39" s="126">
        <v>38.700000000000003</v>
      </c>
      <c r="E39" s="16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8"/>
      <c r="X39" s="125">
        <v>38.700000000000003</v>
      </c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1:33" ht="13.25" customHeight="1">
      <c r="A40" s="429">
        <v>44503</v>
      </c>
      <c r="B40" s="131" t="s">
        <v>124</v>
      </c>
      <c r="C40" s="164" t="s">
        <v>421</v>
      </c>
      <c r="D40" s="126">
        <v>160</v>
      </c>
      <c r="E40" s="165"/>
      <c r="F40" s="125"/>
      <c r="G40" s="125"/>
      <c r="H40" s="125"/>
      <c r="I40" s="125"/>
      <c r="J40" s="125"/>
      <c r="K40" s="125"/>
      <c r="L40" s="125"/>
      <c r="M40" s="125">
        <f>D40</f>
        <v>160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8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1:33" ht="13.25" customHeight="1">
      <c r="A41" s="429">
        <v>44483</v>
      </c>
      <c r="B41" s="131" t="s">
        <v>153</v>
      </c>
      <c r="C41" s="164" t="s">
        <v>425</v>
      </c>
      <c r="D41" s="126">
        <v>13.19</v>
      </c>
      <c r="E41" s="16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8"/>
      <c r="X41" s="125"/>
      <c r="Y41" s="125"/>
      <c r="Z41" s="125"/>
      <c r="AA41" s="125"/>
      <c r="AB41" s="125"/>
      <c r="AC41" s="125"/>
      <c r="AD41" s="125"/>
      <c r="AE41" s="125">
        <v>13.19</v>
      </c>
      <c r="AF41" s="125"/>
      <c r="AG41" s="125"/>
    </row>
    <row r="42" spans="1:33" ht="13.25" customHeight="1">
      <c r="A42" s="429">
        <v>44477</v>
      </c>
      <c r="B42" s="131" t="s">
        <v>124</v>
      </c>
      <c r="C42" s="164" t="s">
        <v>427</v>
      </c>
      <c r="D42" s="126">
        <v>103</v>
      </c>
      <c r="E42" s="165"/>
      <c r="F42" s="125"/>
      <c r="G42" s="125"/>
      <c r="H42" s="125"/>
      <c r="I42" s="125"/>
      <c r="J42" s="125"/>
      <c r="K42" s="125"/>
      <c r="L42" s="125">
        <f>D42</f>
        <v>103</v>
      </c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8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1:33" ht="13.25" customHeight="1">
      <c r="A43" s="429">
        <v>44476</v>
      </c>
      <c r="B43" s="131" t="s">
        <v>124</v>
      </c>
      <c r="C43" s="164" t="s">
        <v>428</v>
      </c>
      <c r="D43" s="126">
        <v>31</v>
      </c>
      <c r="E43" s="16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>
        <f>D43</f>
        <v>31</v>
      </c>
      <c r="T43" s="125"/>
      <c r="U43" s="125"/>
      <c r="V43" s="125"/>
      <c r="W43" s="128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1:33" ht="13.25" customHeight="1">
      <c r="A44" s="429">
        <v>44474</v>
      </c>
      <c r="B44" s="131" t="s">
        <v>149</v>
      </c>
      <c r="C44" s="164" t="s">
        <v>430</v>
      </c>
      <c r="D44" s="126">
        <v>75</v>
      </c>
      <c r="E44" s="16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8"/>
      <c r="X44" s="125"/>
      <c r="Y44" s="125"/>
      <c r="Z44" s="125"/>
      <c r="AA44" s="125">
        <f>D44</f>
        <v>75</v>
      </c>
      <c r="AB44" s="125"/>
      <c r="AC44" s="125"/>
      <c r="AD44" s="125"/>
      <c r="AE44" s="125"/>
      <c r="AF44" s="125"/>
      <c r="AG44" s="125"/>
    </row>
    <row r="45" spans="1:33" ht="13.25" customHeight="1">
      <c r="A45" s="429">
        <v>44473</v>
      </c>
      <c r="B45" s="131" t="s">
        <v>124</v>
      </c>
      <c r="C45" s="164" t="s">
        <v>431</v>
      </c>
      <c r="D45" s="126">
        <v>21</v>
      </c>
      <c r="E45" s="16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>
        <f>D45</f>
        <v>21</v>
      </c>
      <c r="T45" s="125"/>
      <c r="U45" s="125"/>
      <c r="V45" s="125"/>
      <c r="W45" s="128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1:33" ht="13.25" customHeight="1">
      <c r="A46" s="429">
        <v>44473</v>
      </c>
      <c r="B46" s="131" t="s">
        <v>124</v>
      </c>
      <c r="C46" s="164" t="s">
        <v>432</v>
      </c>
      <c r="D46" s="126">
        <v>82.8</v>
      </c>
      <c r="E46" s="16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8"/>
      <c r="X46" s="125">
        <f t="shared" ref="X46:X47" si="2">D46</f>
        <v>82.8</v>
      </c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1:33" ht="13.25" customHeight="1">
      <c r="A47" s="429">
        <v>44473</v>
      </c>
      <c r="B47" s="131" t="s">
        <v>124</v>
      </c>
      <c r="C47" s="164" t="s">
        <v>433</v>
      </c>
      <c r="D47" s="126">
        <v>31.5</v>
      </c>
      <c r="E47" s="16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8"/>
      <c r="X47" s="125">
        <f t="shared" si="2"/>
        <v>31.5</v>
      </c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1:33" ht="13.25" customHeight="1">
      <c r="A48" s="429">
        <v>44470</v>
      </c>
      <c r="B48" s="131" t="s">
        <v>149</v>
      </c>
      <c r="C48" s="164" t="s">
        <v>434</v>
      </c>
      <c r="D48" s="126">
        <v>50</v>
      </c>
      <c r="E48" s="165"/>
      <c r="F48" s="125"/>
      <c r="G48" s="125"/>
      <c r="H48" s="125"/>
      <c r="I48" s="125">
        <f>D48</f>
        <v>50</v>
      </c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8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</row>
    <row r="49" spans="1:33" ht="13.25" customHeight="1">
      <c r="A49" s="429">
        <v>44466</v>
      </c>
      <c r="B49" s="131" t="s">
        <v>124</v>
      </c>
      <c r="C49" s="164" t="s">
        <v>435</v>
      </c>
      <c r="D49" s="126">
        <v>31.5</v>
      </c>
      <c r="E49" s="16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8"/>
      <c r="X49" s="125">
        <f>D49</f>
        <v>31.5</v>
      </c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1:33" ht="13.25" customHeight="1">
      <c r="A50" s="429">
        <v>44453</v>
      </c>
      <c r="B50" s="131" t="s">
        <v>153</v>
      </c>
      <c r="C50" s="164" t="s">
        <v>441</v>
      </c>
      <c r="D50" s="126">
        <v>13.19</v>
      </c>
      <c r="E50" s="16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8"/>
      <c r="X50" s="125"/>
      <c r="Y50" s="125"/>
      <c r="Z50" s="125"/>
      <c r="AA50" s="125"/>
      <c r="AB50" s="125"/>
      <c r="AC50" s="125"/>
      <c r="AD50" s="125"/>
      <c r="AE50" s="125">
        <v>13.19</v>
      </c>
      <c r="AF50" s="125"/>
      <c r="AG50" s="125"/>
    </row>
    <row r="51" spans="1:33" ht="13.25" customHeight="1">
      <c r="A51" s="429">
        <v>44445</v>
      </c>
      <c r="B51" s="131" t="s">
        <v>149</v>
      </c>
      <c r="C51" s="164" t="s">
        <v>442</v>
      </c>
      <c r="D51" s="126">
        <v>75</v>
      </c>
      <c r="E51" s="16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8"/>
      <c r="X51" s="125"/>
      <c r="Y51" s="125"/>
      <c r="Z51" s="125"/>
      <c r="AA51" s="125">
        <f>D51</f>
        <v>75</v>
      </c>
      <c r="AB51" s="125"/>
      <c r="AC51" s="125"/>
      <c r="AD51" s="125"/>
      <c r="AE51" s="125"/>
      <c r="AF51" s="125"/>
      <c r="AG51" s="125"/>
    </row>
    <row r="52" spans="1:33" ht="13.25" customHeight="1">
      <c r="A52" s="429">
        <v>44439</v>
      </c>
      <c r="B52" s="131" t="s">
        <v>124</v>
      </c>
      <c r="C52" s="164" t="s">
        <v>443</v>
      </c>
      <c r="D52" s="126">
        <v>72.27</v>
      </c>
      <c r="E52" s="16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8"/>
      <c r="X52" s="125"/>
      <c r="Y52" s="125"/>
      <c r="Z52" s="125"/>
      <c r="AA52" s="125"/>
      <c r="AB52" s="125"/>
      <c r="AC52" s="125"/>
      <c r="AD52" s="125"/>
      <c r="AE52" s="125"/>
      <c r="AF52" s="125"/>
      <c r="AG52" s="125">
        <v>72.27</v>
      </c>
    </row>
    <row r="53" spans="1:33" ht="13.25" customHeight="1">
      <c r="A53" s="429">
        <v>44424</v>
      </c>
      <c r="B53" s="131" t="s">
        <v>153</v>
      </c>
      <c r="C53" s="164" t="s">
        <v>444</v>
      </c>
      <c r="D53" s="126">
        <v>13.19</v>
      </c>
      <c r="E53" s="16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8"/>
      <c r="X53" s="125"/>
      <c r="Y53" s="125"/>
      <c r="Z53" s="125"/>
      <c r="AA53" s="125"/>
      <c r="AB53" s="125"/>
      <c r="AC53" s="125"/>
      <c r="AD53" s="125"/>
      <c r="AE53" s="125">
        <v>13.19</v>
      </c>
      <c r="AF53" s="125"/>
      <c r="AG53" s="125"/>
    </row>
    <row r="54" spans="1:33" ht="13.25" customHeight="1">
      <c r="A54" s="429">
        <v>44413</v>
      </c>
      <c r="B54" s="131" t="s">
        <v>149</v>
      </c>
      <c r="C54" s="164" t="s">
        <v>448</v>
      </c>
      <c r="D54" s="126">
        <v>75</v>
      </c>
      <c r="E54" s="16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8"/>
      <c r="X54" s="125"/>
      <c r="Y54" s="125"/>
      <c r="Z54" s="125"/>
      <c r="AA54" s="125">
        <f>D54</f>
        <v>75</v>
      </c>
      <c r="AB54" s="125"/>
      <c r="AC54" s="125"/>
      <c r="AD54" s="125"/>
      <c r="AE54" s="125"/>
      <c r="AF54" s="125"/>
      <c r="AG54" s="125"/>
    </row>
    <row r="55" spans="1:33" ht="13.25" customHeight="1">
      <c r="A55" s="429">
        <v>44403</v>
      </c>
      <c r="B55" s="131" t="s">
        <v>124</v>
      </c>
      <c r="C55" s="164" t="s">
        <v>449</v>
      </c>
      <c r="D55" s="126">
        <v>264.25</v>
      </c>
      <c r="E55" s="16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8"/>
      <c r="X55" s="125"/>
      <c r="Y55" s="125">
        <f>D55</f>
        <v>264.25</v>
      </c>
      <c r="Z55" s="125"/>
      <c r="AA55" s="125"/>
      <c r="AB55" s="125"/>
      <c r="AC55" s="125"/>
      <c r="AD55" s="125"/>
      <c r="AE55" s="125"/>
      <c r="AF55" s="125"/>
      <c r="AG55" s="125"/>
    </row>
    <row r="56" spans="1:33" ht="13.25" customHeight="1">
      <c r="A56" s="429">
        <v>44391</v>
      </c>
      <c r="B56" s="131" t="s">
        <v>153</v>
      </c>
      <c r="C56" s="164" t="s">
        <v>450</v>
      </c>
      <c r="D56" s="126">
        <v>13.19</v>
      </c>
      <c r="E56" s="16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8"/>
      <c r="X56" s="125"/>
      <c r="Y56" s="125"/>
      <c r="Z56" s="125"/>
      <c r="AA56" s="125"/>
      <c r="AB56" s="125"/>
      <c r="AC56" s="125"/>
      <c r="AD56" s="125"/>
      <c r="AE56" s="125">
        <v>13.19</v>
      </c>
      <c r="AF56" s="125"/>
      <c r="AG56" s="125"/>
    </row>
    <row r="57" spans="1:33" ht="13.25" customHeight="1">
      <c r="A57" s="429">
        <v>44382</v>
      </c>
      <c r="B57" s="131" t="s">
        <v>149</v>
      </c>
      <c r="C57" s="164" t="s">
        <v>451</v>
      </c>
      <c r="D57" s="126">
        <v>75</v>
      </c>
      <c r="E57" s="16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8"/>
      <c r="X57" s="125"/>
      <c r="Y57" s="125"/>
      <c r="Z57" s="125"/>
      <c r="AA57" s="125">
        <f>D57</f>
        <v>75</v>
      </c>
      <c r="AB57" s="125"/>
      <c r="AC57" s="125"/>
      <c r="AD57" s="125"/>
      <c r="AE57" s="125"/>
      <c r="AF57" s="125"/>
      <c r="AG57" s="125"/>
    </row>
    <row r="58" spans="1:33" ht="13.25" customHeight="1">
      <c r="A58" s="429">
        <v>44378</v>
      </c>
      <c r="B58" s="131" t="s">
        <v>149</v>
      </c>
      <c r="C58" s="164" t="s">
        <v>452</v>
      </c>
      <c r="D58" s="126">
        <v>50</v>
      </c>
      <c r="E58" s="165"/>
      <c r="F58" s="125"/>
      <c r="G58" s="125"/>
      <c r="H58" s="125"/>
      <c r="I58" s="125">
        <f>D58</f>
        <v>50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8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</row>
    <row r="59" spans="1:33" ht="13.25" customHeight="1">
      <c r="A59" s="429">
        <v>44370</v>
      </c>
      <c r="B59" s="131" t="s">
        <v>124</v>
      </c>
      <c r="C59" s="164" t="s">
        <v>455</v>
      </c>
      <c r="D59" s="126">
        <v>5</v>
      </c>
      <c r="E59" s="16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8"/>
      <c r="X59" s="125">
        <f>D59</f>
        <v>5</v>
      </c>
      <c r="Y59" s="125"/>
      <c r="Z59" s="125"/>
      <c r="AA59" s="125"/>
      <c r="AB59" s="125"/>
      <c r="AC59" s="125"/>
      <c r="AD59" s="125"/>
      <c r="AE59" s="125"/>
      <c r="AF59" s="125"/>
      <c r="AG59" s="125"/>
    </row>
    <row r="60" spans="1:33" ht="13.25" customHeight="1">
      <c r="A60" s="429">
        <v>44365</v>
      </c>
      <c r="B60" s="131" t="s">
        <v>124</v>
      </c>
      <c r="C60" s="164" t="s">
        <v>457</v>
      </c>
      <c r="D60" s="126">
        <v>443</v>
      </c>
      <c r="E60" s="16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8"/>
      <c r="X60" s="125">
        <f>D60</f>
        <v>443</v>
      </c>
      <c r="Y60" s="125"/>
      <c r="Z60" s="125"/>
      <c r="AA60" s="125"/>
      <c r="AB60" s="125"/>
      <c r="AC60" s="125"/>
      <c r="AD60" s="125"/>
      <c r="AE60" s="125"/>
      <c r="AF60" s="125"/>
      <c r="AG60" s="125"/>
    </row>
    <row r="61" spans="1:33" ht="13.25" customHeight="1">
      <c r="A61" s="429">
        <v>44361</v>
      </c>
      <c r="B61" s="131" t="s">
        <v>153</v>
      </c>
      <c r="C61" s="164" t="s">
        <v>458</v>
      </c>
      <c r="D61" s="126">
        <v>13.19</v>
      </c>
      <c r="E61" s="16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8"/>
      <c r="X61" s="125"/>
      <c r="Y61" s="125"/>
      <c r="Z61" s="125"/>
      <c r="AA61" s="125"/>
      <c r="AB61" s="125"/>
      <c r="AC61" s="125"/>
      <c r="AD61" s="125"/>
      <c r="AE61" s="125">
        <v>13.19</v>
      </c>
      <c r="AF61" s="125"/>
      <c r="AG61" s="125"/>
    </row>
    <row r="62" spans="1:33" ht="13.25" customHeight="1">
      <c r="A62" s="429">
        <v>44354</v>
      </c>
      <c r="B62" s="131" t="s">
        <v>149</v>
      </c>
      <c r="C62" s="164" t="s">
        <v>459</v>
      </c>
      <c r="D62" s="126">
        <v>75</v>
      </c>
      <c r="E62" s="16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8"/>
      <c r="X62" s="125"/>
      <c r="Y62" s="125"/>
      <c r="Z62" s="125"/>
      <c r="AA62" s="125">
        <f>D62</f>
        <v>75</v>
      </c>
      <c r="AB62" s="125"/>
      <c r="AC62" s="125"/>
      <c r="AD62" s="125"/>
      <c r="AE62" s="125"/>
      <c r="AF62" s="125"/>
      <c r="AG62" s="125"/>
    </row>
    <row r="63" spans="1:33" ht="13.25" customHeight="1">
      <c r="A63" s="429">
        <v>44342</v>
      </c>
      <c r="B63" s="131" t="s">
        <v>153</v>
      </c>
      <c r="C63" s="164" t="s">
        <v>462</v>
      </c>
      <c r="D63" s="126">
        <v>79.19</v>
      </c>
      <c r="E63" s="16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8"/>
      <c r="X63" s="125"/>
      <c r="Y63" s="125"/>
      <c r="Z63" s="125"/>
      <c r="AA63" s="125"/>
      <c r="AB63" s="125"/>
      <c r="AC63" s="125"/>
      <c r="AD63" s="125"/>
      <c r="AE63" s="125">
        <f>D63</f>
        <v>79.19</v>
      </c>
      <c r="AF63" s="125"/>
      <c r="AG63" s="125"/>
    </row>
    <row r="64" spans="1:33" ht="13.25" customHeight="1">
      <c r="A64" s="429">
        <v>44337</v>
      </c>
      <c r="B64" s="131" t="s">
        <v>124</v>
      </c>
      <c r="C64" s="164" t="s">
        <v>463</v>
      </c>
      <c r="D64" s="126">
        <v>50</v>
      </c>
      <c r="E64" s="165"/>
      <c r="F64" s="125"/>
      <c r="G64" s="125"/>
      <c r="H64" s="125"/>
      <c r="I64" s="125">
        <f>D64</f>
        <v>50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8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</row>
    <row r="65" spans="1:33" ht="13.25" customHeight="1">
      <c r="A65" s="429">
        <v>44337</v>
      </c>
      <c r="B65" s="131" t="s">
        <v>124</v>
      </c>
      <c r="C65" s="164" t="s">
        <v>427</v>
      </c>
      <c r="D65" s="126">
        <v>44.5</v>
      </c>
      <c r="E65" s="165"/>
      <c r="F65" s="125"/>
      <c r="G65" s="125"/>
      <c r="H65" s="125"/>
      <c r="I65" s="125"/>
      <c r="J65" s="125"/>
      <c r="K65" s="125"/>
      <c r="L65" s="125">
        <f>D65</f>
        <v>44.5</v>
      </c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8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</row>
    <row r="66" spans="1:33" ht="13.25" customHeight="1">
      <c r="A66" s="429">
        <v>44333</v>
      </c>
      <c r="B66" s="131" t="s">
        <v>153</v>
      </c>
      <c r="C66" s="164" t="s">
        <v>464</v>
      </c>
      <c r="D66" s="126">
        <v>13.19</v>
      </c>
      <c r="E66" s="16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8"/>
      <c r="X66" s="125"/>
      <c r="Y66" s="125"/>
      <c r="Z66" s="125"/>
      <c r="AA66" s="125"/>
      <c r="AB66" s="125"/>
      <c r="AC66" s="125"/>
      <c r="AD66" s="125"/>
      <c r="AE66" s="125">
        <v>13.19</v>
      </c>
      <c r="AF66" s="125"/>
      <c r="AG66" s="125"/>
    </row>
    <row r="67" spans="1:33" ht="13.25" customHeight="1">
      <c r="A67" s="429">
        <v>44321</v>
      </c>
      <c r="B67" s="131" t="s">
        <v>149</v>
      </c>
      <c r="C67" s="164" t="s">
        <v>466</v>
      </c>
      <c r="D67" s="126">
        <v>75</v>
      </c>
      <c r="E67" s="16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8"/>
      <c r="X67" s="125"/>
      <c r="Y67" s="125"/>
      <c r="Z67" s="125"/>
      <c r="AA67" s="125">
        <f>D67</f>
        <v>75</v>
      </c>
      <c r="AB67" s="125"/>
      <c r="AC67" s="125"/>
      <c r="AD67" s="125"/>
      <c r="AE67" s="125"/>
      <c r="AF67" s="125"/>
      <c r="AG67" s="125"/>
    </row>
    <row r="68" spans="1:33" ht="13.25" customHeight="1">
      <c r="A68" s="429">
        <v>44320</v>
      </c>
      <c r="B68" s="131" t="s">
        <v>153</v>
      </c>
      <c r="C68" s="164" t="s">
        <v>467</v>
      </c>
      <c r="D68" s="126">
        <v>15.59</v>
      </c>
      <c r="E68" s="16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8"/>
      <c r="X68" s="125"/>
      <c r="Y68" s="125"/>
      <c r="Z68" s="125"/>
      <c r="AA68" s="125"/>
      <c r="AB68" s="125"/>
      <c r="AC68" s="125"/>
      <c r="AD68" s="125"/>
      <c r="AE68" s="125">
        <f>D68</f>
        <v>15.59</v>
      </c>
      <c r="AF68" s="125"/>
      <c r="AG68" s="125"/>
    </row>
    <row r="69" spans="1:33" ht="13.25" customHeight="1">
      <c r="A69" s="429">
        <v>44301</v>
      </c>
      <c r="B69" s="131" t="s">
        <v>153</v>
      </c>
      <c r="C69" s="164" t="s">
        <v>472</v>
      </c>
      <c r="D69" s="126">
        <v>13.19</v>
      </c>
      <c r="E69" s="16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8"/>
      <c r="X69" s="125"/>
      <c r="Y69" s="125"/>
      <c r="Z69" s="125"/>
      <c r="AA69" s="125"/>
      <c r="AB69" s="125"/>
      <c r="AC69" s="125"/>
      <c r="AD69" s="125"/>
      <c r="AE69" s="125">
        <v>13.19</v>
      </c>
      <c r="AF69" s="125"/>
      <c r="AG69" s="125"/>
    </row>
    <row r="70" spans="1:33" ht="13.25" customHeight="1">
      <c r="A70" s="429">
        <v>44292</v>
      </c>
      <c r="B70" s="131" t="s">
        <v>149</v>
      </c>
      <c r="C70" s="164" t="s">
        <v>473</v>
      </c>
      <c r="D70" s="126">
        <v>75</v>
      </c>
      <c r="E70" s="16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8"/>
      <c r="X70" s="125"/>
      <c r="Y70" s="125"/>
      <c r="Z70" s="125"/>
      <c r="AA70" s="125">
        <f>D70</f>
        <v>75</v>
      </c>
      <c r="AB70" s="125"/>
      <c r="AC70" s="125"/>
      <c r="AD70" s="125"/>
      <c r="AE70" s="125"/>
      <c r="AF70" s="125"/>
      <c r="AG70" s="125"/>
    </row>
    <row r="71" spans="1:33" ht="13.25" customHeight="1">
      <c r="A71" s="429">
        <v>44287</v>
      </c>
      <c r="B71" s="131" t="s">
        <v>149</v>
      </c>
      <c r="C71" s="164" t="s">
        <v>474</v>
      </c>
      <c r="D71" s="126">
        <v>50</v>
      </c>
      <c r="E71" s="165"/>
      <c r="F71" s="125"/>
      <c r="G71" s="125"/>
      <c r="H71" s="125"/>
      <c r="I71" s="125">
        <f>D71</f>
        <v>50</v>
      </c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8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</row>
    <row r="72" spans="1:33" ht="13.25" customHeight="1">
      <c r="A72" s="429">
        <v>44287</v>
      </c>
      <c r="B72" s="131" t="s">
        <v>124</v>
      </c>
      <c r="C72" s="164" t="s">
        <v>475</v>
      </c>
      <c r="D72" s="126">
        <v>100</v>
      </c>
      <c r="E72" s="16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8"/>
      <c r="X72" s="125"/>
      <c r="Y72" s="125"/>
      <c r="Z72" s="125"/>
      <c r="AA72" s="125"/>
      <c r="AB72" s="125"/>
      <c r="AC72" s="125"/>
      <c r="AD72" s="125"/>
      <c r="AE72" s="125"/>
      <c r="AF72" s="125">
        <f>D72</f>
        <v>100</v>
      </c>
      <c r="AG72" s="125"/>
    </row>
    <row r="73" spans="1:33" ht="13.25" customHeight="1">
      <c r="A73" s="429">
        <v>44287</v>
      </c>
      <c r="B73" s="131" t="s">
        <v>124</v>
      </c>
      <c r="C73" s="164" t="s">
        <v>476</v>
      </c>
      <c r="D73" s="126">
        <v>40</v>
      </c>
      <c r="E73" s="16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8"/>
      <c r="X73" s="125"/>
      <c r="Y73" s="125"/>
      <c r="Z73" s="125"/>
      <c r="AA73" s="125"/>
      <c r="AB73" s="125"/>
      <c r="AC73" s="125"/>
      <c r="AD73" s="125"/>
      <c r="AE73" s="125"/>
      <c r="AF73" s="125">
        <f>D73</f>
        <v>40</v>
      </c>
      <c r="AG73" s="125"/>
    </row>
    <row r="74" spans="1:33" ht="13.25" customHeight="1">
      <c r="A74" s="429"/>
      <c r="B74" s="131"/>
      <c r="C74" s="164"/>
      <c r="D74" s="126"/>
      <c r="E74" s="16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8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</row>
    <row r="75" spans="1:33" s="496" customFormat="1" ht="12.25" customHeight="1">
      <c r="A75" s="497"/>
      <c r="B75" s="95"/>
      <c r="C75" s="105"/>
      <c r="D75" s="495">
        <v>-13000</v>
      </c>
      <c r="E75" s="165"/>
      <c r="F75" s="498">
        <f>SUM(F5:F73)</f>
        <v>13000</v>
      </c>
      <c r="G75" s="494">
        <f t="shared" ref="G75:AG75" si="3">SUM(G5:G73)</f>
        <v>0</v>
      </c>
      <c r="H75" s="494">
        <f t="shared" si="3"/>
        <v>0</v>
      </c>
      <c r="I75" s="494">
        <f t="shared" si="3"/>
        <v>250</v>
      </c>
      <c r="J75" s="494">
        <f t="shared" si="3"/>
        <v>0</v>
      </c>
      <c r="K75" s="494">
        <f t="shared" si="3"/>
        <v>0</v>
      </c>
      <c r="L75" s="494">
        <f t="shared" si="3"/>
        <v>147.5</v>
      </c>
      <c r="M75" s="494">
        <f t="shared" si="3"/>
        <v>160</v>
      </c>
      <c r="N75" s="494">
        <f t="shared" si="3"/>
        <v>0</v>
      </c>
      <c r="O75" s="494">
        <f t="shared" si="3"/>
        <v>0</v>
      </c>
      <c r="P75" s="494">
        <f t="shared" si="3"/>
        <v>0</v>
      </c>
      <c r="Q75" s="499">
        <f t="shared" si="3"/>
        <v>1900</v>
      </c>
      <c r="R75" s="499">
        <f t="shared" si="3"/>
        <v>0</v>
      </c>
      <c r="S75" s="499">
        <f t="shared" si="3"/>
        <v>401.7</v>
      </c>
      <c r="T75" s="499">
        <f t="shared" si="3"/>
        <v>8.9</v>
      </c>
      <c r="U75" s="499">
        <f t="shared" si="3"/>
        <v>1440</v>
      </c>
      <c r="V75" s="494">
        <f t="shared" si="3"/>
        <v>0</v>
      </c>
      <c r="W75" s="494">
        <f t="shared" si="3"/>
        <v>0</v>
      </c>
      <c r="X75" s="499">
        <f t="shared" si="3"/>
        <v>2222.35</v>
      </c>
      <c r="Y75" s="499">
        <f t="shared" si="3"/>
        <v>264.25</v>
      </c>
      <c r="Z75" s="494">
        <f t="shared" si="3"/>
        <v>0</v>
      </c>
      <c r="AA75" s="494">
        <f t="shared" si="3"/>
        <v>900</v>
      </c>
      <c r="AB75" s="494">
        <f t="shared" si="3"/>
        <v>0</v>
      </c>
      <c r="AC75" s="494">
        <f t="shared" si="3"/>
        <v>0</v>
      </c>
      <c r="AD75" s="494">
        <f t="shared" si="3"/>
        <v>0</v>
      </c>
      <c r="AE75" s="499">
        <f>SUM(AE5:AE73)</f>
        <v>429.48999999999995</v>
      </c>
      <c r="AF75" s="499">
        <f>SUM(AF5:AF73)</f>
        <v>330</v>
      </c>
      <c r="AG75" s="499">
        <f t="shared" si="3"/>
        <v>86.67</v>
      </c>
    </row>
    <row r="76" spans="1:33" ht="13.25" customHeight="1">
      <c r="A76" s="429"/>
      <c r="B76" s="131"/>
      <c r="C76" s="164"/>
      <c r="D76" s="126"/>
      <c r="E76" s="16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8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</row>
    <row r="77" spans="1:33" ht="13.25" customHeight="1">
      <c r="A77" s="429"/>
      <c r="B77" s="131"/>
      <c r="C77" s="164"/>
      <c r="D77" s="126"/>
      <c r="E77" s="16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8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</row>
    <row r="78" spans="1:33" ht="13.25" customHeight="1">
      <c r="A78" s="429"/>
      <c r="B78" s="131"/>
      <c r="C78" s="164"/>
      <c r="D78" s="126"/>
      <c r="E78" s="16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8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</row>
    <row r="79" spans="1:33" ht="13.25" customHeight="1">
      <c r="A79" s="429"/>
      <c r="B79" s="131"/>
      <c r="C79" s="164"/>
      <c r="D79" s="126"/>
      <c r="E79" s="16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8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</row>
    <row r="80" spans="1:33" ht="13.25" customHeight="1">
      <c r="A80" s="429"/>
      <c r="B80" s="131"/>
      <c r="C80" s="164"/>
      <c r="D80" s="126"/>
      <c r="E80" s="16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8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</row>
    <row r="81" spans="1:33" ht="13.25" customHeight="1">
      <c r="A81" s="429"/>
      <c r="B81" s="131"/>
      <c r="C81" s="164"/>
      <c r="D81" s="126"/>
      <c r="E81" s="16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8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</row>
    <row r="82" spans="1:33" ht="13.25" customHeight="1">
      <c r="A82" s="429"/>
      <c r="B82" s="131"/>
      <c r="C82" s="164"/>
      <c r="D82" s="126"/>
      <c r="E82" s="16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8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</row>
    <row r="83" spans="1:33" ht="13.25" customHeight="1">
      <c r="A83" s="429"/>
      <c r="B83" s="131"/>
      <c r="C83" s="164"/>
      <c r="D83" s="126"/>
      <c r="E83" s="16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8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</row>
    <row r="84" spans="1:33" ht="13.25" customHeight="1">
      <c r="A84" s="429"/>
      <c r="B84" s="131"/>
      <c r="C84" s="164"/>
      <c r="D84" s="126"/>
      <c r="E84" s="16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8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</row>
    <row r="85" spans="1:33" ht="13.25" customHeight="1">
      <c r="A85" s="429"/>
      <c r="B85" s="131"/>
      <c r="C85" s="164"/>
      <c r="D85" s="126"/>
      <c r="E85" s="16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8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</row>
    <row r="86" spans="1:33" ht="13.25" customHeight="1">
      <c r="A86" s="429"/>
      <c r="B86" s="131"/>
      <c r="C86" s="164"/>
      <c r="D86" s="126"/>
      <c r="E86" s="16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8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</row>
    <row r="87" spans="1:33" ht="13.25" customHeight="1">
      <c r="A87" s="429"/>
      <c r="B87" s="131"/>
      <c r="C87" s="164"/>
      <c r="D87" s="126"/>
      <c r="E87" s="16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8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</row>
    <row r="88" spans="1:33" ht="13.25" customHeight="1">
      <c r="A88" s="429"/>
      <c r="B88" s="131"/>
      <c r="C88" s="164"/>
      <c r="D88" s="126"/>
      <c r="E88" s="16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8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</sheetData>
  <mergeCells count="2">
    <mergeCell ref="A1:AG1"/>
    <mergeCell ref="A2:AF2"/>
  </mergeCells>
  <pageMargins left="1" right="1" top="1" bottom="1" header="0.25" footer="0.25"/>
  <pageSetup scale="42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0"/>
  <sheetViews>
    <sheetView showGridLines="0" workbookViewId="0">
      <pane xSplit="1" ySplit="2" topLeftCell="B34" activePane="bottomRight" state="frozen"/>
      <selection pane="topRight"/>
      <selection pane="bottomLeft"/>
      <selection pane="bottomRight" activeCell="G52" sqref="G52"/>
    </sheetView>
  </sheetViews>
  <sheetFormatPr baseColWidth="10" defaultColWidth="16.33203125" defaultRowHeight="14" customHeight="1"/>
  <cols>
    <col min="1" max="1" width="10.33203125" style="1" customWidth="1"/>
    <col min="2" max="2" width="8.6640625" style="1" customWidth="1"/>
    <col min="3" max="3" width="19.83203125" style="1" customWidth="1"/>
    <col min="4" max="4" width="9.33203125" style="1" customWidth="1"/>
    <col min="5" max="5" width="10.33203125" style="1" customWidth="1"/>
    <col min="6" max="6" width="16.33203125" style="1" customWidth="1"/>
    <col min="7" max="16384" width="16.33203125" style="1"/>
  </cols>
  <sheetData>
    <row r="1" spans="1:6" ht="14.75" customHeight="1">
      <c r="A1" s="580" t="s">
        <v>88</v>
      </c>
      <c r="B1" s="600"/>
      <c r="C1" s="600"/>
      <c r="D1" s="600"/>
      <c r="E1" s="600"/>
      <c r="F1" s="601"/>
    </row>
    <row r="2" spans="1:6" ht="14.75" customHeight="1">
      <c r="A2" s="423"/>
      <c r="B2" s="424"/>
      <c r="C2" s="425"/>
      <c r="D2" s="426"/>
      <c r="E2" s="426"/>
      <c r="F2" s="426"/>
    </row>
    <row r="3" spans="1:6" ht="15.75" customHeight="1">
      <c r="A3" s="427" t="s">
        <v>105</v>
      </c>
      <c r="B3" s="428"/>
      <c r="C3" s="368"/>
      <c r="D3" s="366"/>
      <c r="E3" s="366"/>
      <c r="F3" s="366"/>
    </row>
    <row r="4" spans="1:6" ht="15.75" customHeight="1">
      <c r="A4" s="427"/>
      <c r="B4" s="428"/>
      <c r="C4" s="368"/>
      <c r="D4" s="366"/>
      <c r="E4" s="366"/>
      <c r="F4" s="366"/>
    </row>
    <row r="5" spans="1:6" ht="15.75" customHeight="1">
      <c r="A5" s="427"/>
      <c r="B5" s="428"/>
      <c r="C5" s="368"/>
      <c r="D5" s="366"/>
      <c r="E5" s="366"/>
      <c r="F5" s="366"/>
    </row>
    <row r="6" spans="1:6" ht="14" customHeight="1">
      <c r="A6" s="429">
        <v>44650</v>
      </c>
      <c r="B6" s="428" t="s">
        <v>124</v>
      </c>
      <c r="C6" s="434" t="s">
        <v>481</v>
      </c>
      <c r="D6" s="368"/>
      <c r="E6" s="476">
        <v>1440</v>
      </c>
      <c r="F6" s="475">
        <f>F7+D6-E6</f>
        <v>26085.59</v>
      </c>
    </row>
    <row r="7" spans="1:6" ht="14" customHeight="1">
      <c r="A7" s="429">
        <v>44650</v>
      </c>
      <c r="B7" s="428" t="s">
        <v>122</v>
      </c>
      <c r="C7" s="434" t="s">
        <v>479</v>
      </c>
      <c r="D7" s="368" t="s">
        <v>480</v>
      </c>
      <c r="E7" s="366" t="s">
        <v>18</v>
      </c>
      <c r="F7" s="366">
        <f>F8+D7</f>
        <v>27525.59</v>
      </c>
    </row>
    <row r="8" spans="1:6" ht="14" customHeight="1">
      <c r="A8" s="429" t="s">
        <v>477</v>
      </c>
      <c r="B8" s="428" t="s">
        <v>124</v>
      </c>
      <c r="C8" s="434" t="s">
        <v>478</v>
      </c>
      <c r="D8" s="366" t="s">
        <v>18</v>
      </c>
      <c r="E8" s="476">
        <v>742.5</v>
      </c>
      <c r="F8" s="493">
        <f t="shared" ref="F8" si="0">F9-E8</f>
        <v>27525.58</v>
      </c>
    </row>
    <row r="9" spans="1:6" ht="14" customHeight="1">
      <c r="A9" s="429">
        <v>44624</v>
      </c>
      <c r="B9" s="428" t="s">
        <v>124</v>
      </c>
      <c r="C9" s="434" t="s">
        <v>376</v>
      </c>
      <c r="D9" s="366" t="s">
        <v>18</v>
      </c>
      <c r="E9" s="476">
        <v>216</v>
      </c>
      <c r="F9" s="493">
        <f t="shared" ref="F9:F10" si="1">F10-E9</f>
        <v>28268.080000000002</v>
      </c>
    </row>
    <row r="10" spans="1:6" ht="14" customHeight="1">
      <c r="A10" s="429">
        <v>44624</v>
      </c>
      <c r="B10" s="428" t="s">
        <v>124</v>
      </c>
      <c r="C10" s="434" t="s">
        <v>377</v>
      </c>
      <c r="D10" s="366" t="s">
        <v>18</v>
      </c>
      <c r="E10" s="476">
        <v>8.9</v>
      </c>
      <c r="F10" s="366">
        <f t="shared" si="1"/>
        <v>28484.080000000002</v>
      </c>
    </row>
    <row r="11" spans="1:6" ht="14" customHeight="1">
      <c r="A11" s="429">
        <v>44620</v>
      </c>
      <c r="B11" s="428" t="s">
        <v>124</v>
      </c>
      <c r="C11" s="434" t="s">
        <v>378</v>
      </c>
      <c r="D11" s="366" t="s">
        <v>18</v>
      </c>
      <c r="E11" s="476">
        <v>50</v>
      </c>
      <c r="F11" s="366">
        <f>F12-E11</f>
        <v>28492.980000000003</v>
      </c>
    </row>
    <row r="12" spans="1:6" ht="14" customHeight="1">
      <c r="A12" s="429">
        <v>44620</v>
      </c>
      <c r="B12" s="428" t="s">
        <v>109</v>
      </c>
      <c r="C12" s="434" t="s">
        <v>197</v>
      </c>
      <c r="D12" s="368">
        <v>0.22</v>
      </c>
      <c r="E12" s="477"/>
      <c r="F12" s="366">
        <f>F13+D12</f>
        <v>28542.980000000003</v>
      </c>
    </row>
    <row r="13" spans="1:6" ht="14" customHeight="1">
      <c r="A13" s="429">
        <v>44616</v>
      </c>
      <c r="B13" s="428" t="s">
        <v>124</v>
      </c>
      <c r="C13" s="434" t="s">
        <v>379</v>
      </c>
      <c r="D13" s="366" t="s">
        <v>18</v>
      </c>
      <c r="E13" s="476">
        <v>40</v>
      </c>
      <c r="F13" s="366">
        <f>F14-E13</f>
        <v>28542.760000000002</v>
      </c>
    </row>
    <row r="14" spans="1:6" ht="14" customHeight="1">
      <c r="A14" s="429">
        <v>44615</v>
      </c>
      <c r="B14" s="428" t="s">
        <v>124</v>
      </c>
      <c r="C14" s="434" t="s">
        <v>380</v>
      </c>
      <c r="D14" s="366" t="s">
        <v>18</v>
      </c>
      <c r="E14" s="476">
        <v>100</v>
      </c>
      <c r="F14" s="366">
        <f>F15-E14</f>
        <v>28582.760000000002</v>
      </c>
    </row>
    <row r="15" spans="1:6" ht="14" customHeight="1">
      <c r="A15" s="429">
        <v>44592</v>
      </c>
      <c r="B15" s="428" t="s">
        <v>109</v>
      </c>
      <c r="C15" s="434" t="s">
        <v>198</v>
      </c>
      <c r="D15" s="368">
        <v>0.24</v>
      </c>
      <c r="E15" s="366" t="s">
        <v>18</v>
      </c>
      <c r="F15" s="366">
        <f t="shared" ref="F15:F24" si="2">F16+D15</f>
        <v>28682.760000000002</v>
      </c>
    </row>
    <row r="16" spans="1:6" ht="14" customHeight="1">
      <c r="A16" s="429">
        <v>44561</v>
      </c>
      <c r="B16" s="428" t="s">
        <v>109</v>
      </c>
      <c r="C16" s="434" t="s">
        <v>119</v>
      </c>
      <c r="D16" s="368">
        <v>0.24</v>
      </c>
      <c r="E16" s="366" t="s">
        <v>18</v>
      </c>
      <c r="F16" s="366">
        <f t="shared" si="2"/>
        <v>28682.52</v>
      </c>
    </row>
    <row r="17" spans="1:6" ht="14" customHeight="1">
      <c r="A17" s="429">
        <v>44530</v>
      </c>
      <c r="B17" s="428" t="s">
        <v>109</v>
      </c>
      <c r="C17" s="434" t="s">
        <v>120</v>
      </c>
      <c r="D17" s="368">
        <v>0.2</v>
      </c>
      <c r="E17" s="366" t="s">
        <v>18</v>
      </c>
      <c r="F17" s="366">
        <f t="shared" si="2"/>
        <v>28682.28</v>
      </c>
    </row>
    <row r="18" spans="1:6" ht="14" customHeight="1">
      <c r="A18" s="429">
        <v>44512</v>
      </c>
      <c r="B18" s="428" t="s">
        <v>124</v>
      </c>
      <c r="C18" s="434" t="s">
        <v>381</v>
      </c>
      <c r="D18" s="368">
        <v>13000</v>
      </c>
      <c r="E18" s="366" t="s">
        <v>18</v>
      </c>
      <c r="F18" s="366">
        <f t="shared" si="2"/>
        <v>28682.079999999998</v>
      </c>
    </row>
    <row r="19" spans="1:6" ht="14" customHeight="1">
      <c r="A19" s="429">
        <v>44498</v>
      </c>
      <c r="B19" s="428" t="s">
        <v>109</v>
      </c>
      <c r="C19" s="434" t="s">
        <v>382</v>
      </c>
      <c r="D19" s="368">
        <v>0.12</v>
      </c>
      <c r="E19" s="366" t="s">
        <v>18</v>
      </c>
      <c r="F19" s="366">
        <f t="shared" si="2"/>
        <v>15682.079999999998</v>
      </c>
    </row>
    <row r="20" spans="1:6" ht="14" customHeight="1">
      <c r="A20" s="429">
        <v>44469</v>
      </c>
      <c r="B20" s="428" t="s">
        <v>109</v>
      </c>
      <c r="C20" s="434" t="s">
        <v>110</v>
      </c>
      <c r="D20" s="368">
        <v>0.13</v>
      </c>
      <c r="E20" s="366" t="s">
        <v>18</v>
      </c>
      <c r="F20" s="366">
        <f t="shared" si="2"/>
        <v>15681.959999999997</v>
      </c>
    </row>
    <row r="21" spans="1:6" ht="14" customHeight="1">
      <c r="A21" s="429">
        <v>44439</v>
      </c>
      <c r="B21" s="428" t="s">
        <v>109</v>
      </c>
      <c r="C21" s="434" t="s">
        <v>267</v>
      </c>
      <c r="D21" s="368">
        <v>0.14000000000000001</v>
      </c>
      <c r="E21" s="366" t="s">
        <v>18</v>
      </c>
      <c r="F21" s="366">
        <f t="shared" si="2"/>
        <v>15681.829999999998</v>
      </c>
    </row>
    <row r="22" spans="1:6" ht="14" customHeight="1">
      <c r="A22" s="429">
        <v>44407</v>
      </c>
      <c r="B22" s="428" t="s">
        <v>109</v>
      </c>
      <c r="C22" s="434" t="s">
        <v>383</v>
      </c>
      <c r="D22" s="368">
        <v>0.13</v>
      </c>
      <c r="E22" s="366" t="s">
        <v>18</v>
      </c>
      <c r="F22" s="366">
        <f t="shared" si="2"/>
        <v>15681.689999999999</v>
      </c>
    </row>
    <row r="23" spans="1:6" ht="14" customHeight="1">
      <c r="A23" s="429">
        <v>44377</v>
      </c>
      <c r="B23" s="428" t="s">
        <v>109</v>
      </c>
      <c r="C23" s="434" t="s">
        <v>113</v>
      </c>
      <c r="D23" s="368">
        <v>0.14000000000000001</v>
      </c>
      <c r="E23" s="366" t="s">
        <v>18</v>
      </c>
      <c r="F23" s="366">
        <f t="shared" si="2"/>
        <v>15681.56</v>
      </c>
    </row>
    <row r="24" spans="1:6" ht="14" customHeight="1">
      <c r="A24" s="429">
        <v>44344</v>
      </c>
      <c r="B24" s="428" t="s">
        <v>109</v>
      </c>
      <c r="C24" s="434" t="s">
        <v>384</v>
      </c>
      <c r="D24" s="368">
        <v>0.12</v>
      </c>
      <c r="E24" s="366" t="s">
        <v>18</v>
      </c>
      <c r="F24" s="366">
        <f t="shared" si="2"/>
        <v>15681.42</v>
      </c>
    </row>
    <row r="25" spans="1:6" ht="14" customHeight="1">
      <c r="A25" s="429">
        <v>44316</v>
      </c>
      <c r="B25" s="428" t="s">
        <v>109</v>
      </c>
      <c r="C25" s="434" t="s">
        <v>115</v>
      </c>
      <c r="D25" s="368">
        <v>0.13</v>
      </c>
      <c r="E25" s="366" t="s">
        <v>18</v>
      </c>
      <c r="F25" s="366">
        <f>F26+D25</f>
        <v>15681.3</v>
      </c>
    </row>
    <row r="26" spans="1:6" ht="14" customHeight="1">
      <c r="A26" s="429"/>
      <c r="B26" s="428"/>
      <c r="C26" s="434" t="s">
        <v>385</v>
      </c>
      <c r="D26" s="366"/>
      <c r="E26" s="368"/>
      <c r="F26" s="377">
        <v>15681.17</v>
      </c>
    </row>
    <row r="27" spans="1:6" ht="13.75" customHeight="1">
      <c r="A27" s="432"/>
      <c r="B27" s="428"/>
      <c r="C27" s="368"/>
      <c r="D27" s="430"/>
      <c r="E27" s="368"/>
      <c r="F27" s="366"/>
    </row>
    <row r="28" spans="1:6" ht="14" customHeight="1">
      <c r="A28" s="433" t="s">
        <v>106</v>
      </c>
      <c r="B28" s="428"/>
      <c r="C28" s="434"/>
      <c r="D28" s="366"/>
      <c r="E28" s="368"/>
      <c r="F28" s="366"/>
    </row>
    <row r="29" spans="1:6" ht="14" customHeight="1">
      <c r="A29" s="530"/>
      <c r="B29" s="428"/>
      <c r="C29" s="434"/>
      <c r="D29" s="366"/>
      <c r="E29" s="368"/>
      <c r="F29" s="366"/>
    </row>
    <row r="30" spans="1:6" ht="14" customHeight="1">
      <c r="A30" s="429">
        <v>44651</v>
      </c>
      <c r="B30" s="428" t="s">
        <v>122</v>
      </c>
      <c r="C30" s="434" t="s">
        <v>491</v>
      </c>
      <c r="D30" s="368">
        <v>5000</v>
      </c>
      <c r="E30" s="477"/>
      <c r="F30" s="475">
        <f t="shared" ref="F30:F32" si="3">F31-E30+D30</f>
        <v>12415.400000000001</v>
      </c>
    </row>
    <row r="31" spans="1:6" ht="14" customHeight="1">
      <c r="A31" s="429">
        <v>44651</v>
      </c>
      <c r="B31" s="428" t="s">
        <v>122</v>
      </c>
      <c r="C31" s="434" t="s">
        <v>492</v>
      </c>
      <c r="D31" s="368">
        <v>5512.48</v>
      </c>
      <c r="E31" s="477"/>
      <c r="F31" s="366">
        <f t="shared" si="3"/>
        <v>7415.4000000000005</v>
      </c>
    </row>
    <row r="32" spans="1:6" ht="14" customHeight="1">
      <c r="A32" s="429">
        <v>44648</v>
      </c>
      <c r="B32" s="428" t="s">
        <v>132</v>
      </c>
      <c r="C32" s="434" t="s">
        <v>487</v>
      </c>
      <c r="D32" s="368">
        <v>57</v>
      </c>
      <c r="E32" s="477"/>
      <c r="F32" s="366">
        <f t="shared" si="3"/>
        <v>1902.920000000001</v>
      </c>
    </row>
    <row r="33" spans="1:6" ht="14" customHeight="1">
      <c r="A33" s="429">
        <v>44641</v>
      </c>
      <c r="B33" s="428" t="s">
        <v>122</v>
      </c>
      <c r="C33" s="434" t="s">
        <v>485</v>
      </c>
      <c r="D33" s="368" t="s">
        <v>486</v>
      </c>
      <c r="E33" s="477"/>
      <c r="F33" s="366">
        <f t="shared" ref="F33" si="4">F34-E33+D33</f>
        <v>1845.920000000001</v>
      </c>
    </row>
    <row r="34" spans="1:6" ht="14" customHeight="1">
      <c r="A34" s="429">
        <v>44636</v>
      </c>
      <c r="B34" s="428" t="s">
        <v>122</v>
      </c>
      <c r="C34" s="434" t="s">
        <v>404</v>
      </c>
      <c r="D34" s="368" t="s">
        <v>484</v>
      </c>
      <c r="E34" s="477"/>
      <c r="F34" s="366">
        <f t="shared" ref="F34" si="5">F35-E34+D34</f>
        <v>1753.2900000000009</v>
      </c>
    </row>
    <row r="35" spans="1:6" ht="14" customHeight="1">
      <c r="A35" s="429">
        <v>44627</v>
      </c>
      <c r="B35" s="428" t="s">
        <v>149</v>
      </c>
      <c r="C35" s="434" t="s">
        <v>386</v>
      </c>
      <c r="D35" s="368"/>
      <c r="E35" s="477">
        <v>75</v>
      </c>
      <c r="F35" s="366">
        <f t="shared" ref="F35:F98" si="6">F36-E35+D35</f>
        <v>1751.3300000000008</v>
      </c>
    </row>
    <row r="36" spans="1:6" ht="14" customHeight="1">
      <c r="A36" s="429">
        <v>44622</v>
      </c>
      <c r="B36" s="428" t="s">
        <v>122</v>
      </c>
      <c r="C36" s="434" t="s">
        <v>387</v>
      </c>
      <c r="D36" s="368">
        <v>18</v>
      </c>
      <c r="E36" s="477"/>
      <c r="F36" s="366">
        <f t="shared" si="6"/>
        <v>1826.3300000000008</v>
      </c>
    </row>
    <row r="37" spans="1:6" ht="14" customHeight="1">
      <c r="A37" s="429">
        <v>44622</v>
      </c>
      <c r="B37" s="428" t="s">
        <v>122</v>
      </c>
      <c r="C37" s="434" t="s">
        <v>388</v>
      </c>
      <c r="D37" s="368">
        <v>159</v>
      </c>
      <c r="E37" s="477"/>
      <c r="F37" s="366">
        <f t="shared" si="6"/>
        <v>1808.3300000000008</v>
      </c>
    </row>
    <row r="38" spans="1:6" ht="14" customHeight="1">
      <c r="A38" s="429">
        <v>44622</v>
      </c>
      <c r="B38" s="428" t="s">
        <v>122</v>
      </c>
      <c r="C38" s="434" t="s">
        <v>389</v>
      </c>
      <c r="D38" s="368">
        <v>6</v>
      </c>
      <c r="E38" s="477"/>
      <c r="F38" s="366">
        <f t="shared" si="6"/>
        <v>1649.3300000000008</v>
      </c>
    </row>
    <row r="39" spans="1:6" ht="14" customHeight="1">
      <c r="A39" s="429">
        <v>44614</v>
      </c>
      <c r="B39" s="428" t="s">
        <v>122</v>
      </c>
      <c r="C39" s="434" t="s">
        <v>390</v>
      </c>
      <c r="D39" s="368">
        <v>53</v>
      </c>
      <c r="E39" s="477"/>
      <c r="F39" s="366">
        <f t="shared" si="6"/>
        <v>1643.3300000000008</v>
      </c>
    </row>
    <row r="40" spans="1:6" ht="14" customHeight="1">
      <c r="A40" s="429">
        <v>44599</v>
      </c>
      <c r="B40" s="428" t="s">
        <v>149</v>
      </c>
      <c r="C40" s="434" t="s">
        <v>391</v>
      </c>
      <c r="D40" s="368"/>
      <c r="E40" s="477">
        <v>75</v>
      </c>
      <c r="F40" s="366">
        <f t="shared" si="6"/>
        <v>1590.3300000000008</v>
      </c>
    </row>
    <row r="41" spans="1:6" ht="14" customHeight="1">
      <c r="A41" s="429">
        <v>44586</v>
      </c>
      <c r="B41" s="428" t="s">
        <v>122</v>
      </c>
      <c r="C41" s="434" t="s">
        <v>392</v>
      </c>
      <c r="D41" s="368">
        <v>165</v>
      </c>
      <c r="E41" s="477"/>
      <c r="F41" s="366">
        <f t="shared" si="6"/>
        <v>1665.3300000000008</v>
      </c>
    </row>
    <row r="42" spans="1:6" ht="14" customHeight="1">
      <c r="A42" s="429">
        <v>44586</v>
      </c>
      <c r="B42" s="428" t="s">
        <v>122</v>
      </c>
      <c r="C42" s="434" t="s">
        <v>393</v>
      </c>
      <c r="D42" s="368">
        <v>21.1</v>
      </c>
      <c r="E42" s="477"/>
      <c r="F42" s="366">
        <f t="shared" si="6"/>
        <v>1500.3300000000008</v>
      </c>
    </row>
    <row r="43" spans="1:6" ht="14" customHeight="1">
      <c r="A43" s="429">
        <v>44586</v>
      </c>
      <c r="B43" s="428" t="s">
        <v>122</v>
      </c>
      <c r="C43" s="434" t="s">
        <v>394</v>
      </c>
      <c r="D43" s="368">
        <v>30</v>
      </c>
      <c r="E43" s="477"/>
      <c r="F43" s="366">
        <f t="shared" si="6"/>
        <v>1479.2300000000009</v>
      </c>
    </row>
    <row r="44" spans="1:6" ht="14" customHeight="1">
      <c r="A44" s="429">
        <v>44571</v>
      </c>
      <c r="B44" s="428" t="s">
        <v>124</v>
      </c>
      <c r="C44" s="434" t="s">
        <v>395</v>
      </c>
      <c r="D44" s="368"/>
      <c r="E44" s="477">
        <v>130.80000000000001</v>
      </c>
      <c r="F44" s="366">
        <f t="shared" si="6"/>
        <v>1449.2300000000009</v>
      </c>
    </row>
    <row r="45" spans="1:6" ht="14" customHeight="1">
      <c r="A45" s="429">
        <v>44566</v>
      </c>
      <c r="B45" s="428" t="s">
        <v>149</v>
      </c>
      <c r="C45" s="434" t="s">
        <v>396</v>
      </c>
      <c r="D45" s="368"/>
      <c r="E45" s="477">
        <v>75</v>
      </c>
      <c r="F45" s="366">
        <f t="shared" si="6"/>
        <v>1580.0300000000009</v>
      </c>
    </row>
    <row r="46" spans="1:6" ht="14" customHeight="1">
      <c r="A46" s="429">
        <v>44565</v>
      </c>
      <c r="B46" s="428" t="s">
        <v>149</v>
      </c>
      <c r="C46" s="434" t="s">
        <v>397</v>
      </c>
      <c r="D46" s="368"/>
      <c r="E46" s="477">
        <v>50</v>
      </c>
      <c r="F46" s="366">
        <f t="shared" si="6"/>
        <v>1655.0300000000009</v>
      </c>
    </row>
    <row r="47" spans="1:6" ht="14" customHeight="1">
      <c r="A47" s="429">
        <v>44560</v>
      </c>
      <c r="B47" s="428" t="s">
        <v>124</v>
      </c>
      <c r="C47" s="434" t="s">
        <v>398</v>
      </c>
      <c r="D47" s="368"/>
      <c r="E47" s="477">
        <v>198</v>
      </c>
      <c r="F47" s="366">
        <f t="shared" si="6"/>
        <v>1705.0300000000009</v>
      </c>
    </row>
    <row r="48" spans="1:6" ht="14" customHeight="1">
      <c r="A48" s="429">
        <v>44550</v>
      </c>
      <c r="B48" s="428" t="s">
        <v>124</v>
      </c>
      <c r="C48" s="434" t="s">
        <v>399</v>
      </c>
      <c r="D48" s="368"/>
      <c r="E48" s="477">
        <v>435.7</v>
      </c>
      <c r="F48" s="366">
        <f t="shared" si="6"/>
        <v>1903.0300000000009</v>
      </c>
    </row>
    <row r="49" spans="1:6" ht="14" customHeight="1">
      <c r="A49" s="429">
        <v>44550</v>
      </c>
      <c r="B49" s="428" t="s">
        <v>124</v>
      </c>
      <c r="C49" s="434" t="s">
        <v>400</v>
      </c>
      <c r="D49" s="368"/>
      <c r="E49" s="477">
        <v>41.85</v>
      </c>
      <c r="F49" s="366">
        <f t="shared" si="6"/>
        <v>2338.7300000000009</v>
      </c>
    </row>
    <row r="50" spans="1:6" ht="14" customHeight="1">
      <c r="A50" s="429">
        <v>44544</v>
      </c>
      <c r="B50" s="428" t="s">
        <v>153</v>
      </c>
      <c r="C50" s="434" t="s">
        <v>401</v>
      </c>
      <c r="D50" s="368"/>
      <c r="E50" s="477">
        <v>13.19</v>
      </c>
      <c r="F50" s="366">
        <f t="shared" si="6"/>
        <v>2380.5800000000008</v>
      </c>
    </row>
    <row r="51" spans="1:6" ht="14" customHeight="1">
      <c r="A51" s="429">
        <v>44540</v>
      </c>
      <c r="B51" s="428" t="s">
        <v>122</v>
      </c>
      <c r="C51" s="434" t="s">
        <v>402</v>
      </c>
      <c r="D51" s="368">
        <v>50</v>
      </c>
      <c r="E51" s="477"/>
      <c r="F51" s="366">
        <f t="shared" si="6"/>
        <v>2393.7700000000009</v>
      </c>
    </row>
    <row r="52" spans="1:6" ht="14" customHeight="1">
      <c r="A52" s="429">
        <v>44536</v>
      </c>
      <c r="B52" s="428" t="s">
        <v>149</v>
      </c>
      <c r="C52" s="434" t="s">
        <v>403</v>
      </c>
      <c r="D52" s="368"/>
      <c r="E52" s="477">
        <v>75</v>
      </c>
      <c r="F52" s="366">
        <f t="shared" si="6"/>
        <v>2343.7700000000009</v>
      </c>
    </row>
    <row r="53" spans="1:6" ht="14" customHeight="1">
      <c r="A53" s="429">
        <v>44525</v>
      </c>
      <c r="B53" s="428" t="s">
        <v>122</v>
      </c>
      <c r="C53" s="434" t="s">
        <v>404</v>
      </c>
      <c r="D53" s="368">
        <v>29.47</v>
      </c>
      <c r="E53" s="477"/>
      <c r="F53" s="366">
        <f t="shared" si="6"/>
        <v>2418.7700000000009</v>
      </c>
    </row>
    <row r="54" spans="1:6" ht="14" customHeight="1">
      <c r="A54" s="429">
        <v>44523</v>
      </c>
      <c r="B54" s="428" t="s">
        <v>122</v>
      </c>
      <c r="C54" s="434" t="s">
        <v>404</v>
      </c>
      <c r="D54" s="368">
        <v>41.26</v>
      </c>
      <c r="E54" s="477"/>
      <c r="F54" s="366">
        <f t="shared" si="6"/>
        <v>2389.3000000000011</v>
      </c>
    </row>
    <row r="55" spans="1:6" ht="14" customHeight="1">
      <c r="A55" s="429">
        <v>44522</v>
      </c>
      <c r="B55" s="428" t="s">
        <v>122</v>
      </c>
      <c r="C55" s="434" t="s">
        <v>405</v>
      </c>
      <c r="D55" s="368">
        <v>217.14</v>
      </c>
      <c r="E55" s="477"/>
      <c r="F55" s="366">
        <f t="shared" si="6"/>
        <v>2348.0400000000009</v>
      </c>
    </row>
    <row r="56" spans="1:6" ht="14" customHeight="1">
      <c r="A56" s="429">
        <v>44522</v>
      </c>
      <c r="B56" s="428" t="s">
        <v>122</v>
      </c>
      <c r="C56" s="434" t="s">
        <v>406</v>
      </c>
      <c r="D56" s="368">
        <v>16</v>
      </c>
      <c r="E56" s="477"/>
      <c r="F56" s="366">
        <f t="shared" si="6"/>
        <v>2130.900000000001</v>
      </c>
    </row>
    <row r="57" spans="1:6" ht="14" customHeight="1">
      <c r="A57" s="429">
        <v>44519</v>
      </c>
      <c r="B57" s="428" t="s">
        <v>122</v>
      </c>
      <c r="C57" s="434" t="s">
        <v>404</v>
      </c>
      <c r="D57" s="368">
        <v>47.15</v>
      </c>
      <c r="E57" s="477"/>
      <c r="F57" s="366">
        <f t="shared" si="6"/>
        <v>2114.900000000001</v>
      </c>
    </row>
    <row r="58" spans="1:6" ht="14" customHeight="1">
      <c r="A58" s="429">
        <v>44517</v>
      </c>
      <c r="B58" s="428" t="s">
        <v>122</v>
      </c>
      <c r="C58" s="434" t="s">
        <v>407</v>
      </c>
      <c r="D58" s="368">
        <v>15</v>
      </c>
      <c r="E58" s="477"/>
      <c r="F58" s="366">
        <f t="shared" si="6"/>
        <v>2067.7500000000009</v>
      </c>
    </row>
    <row r="59" spans="1:6" ht="14" customHeight="1">
      <c r="A59" s="429">
        <v>44516</v>
      </c>
      <c r="B59" s="428" t="s">
        <v>153</v>
      </c>
      <c r="C59" s="434" t="s">
        <v>408</v>
      </c>
      <c r="D59" s="368"/>
      <c r="E59" s="477">
        <v>13.19</v>
      </c>
      <c r="F59" s="366">
        <f t="shared" si="6"/>
        <v>2052.7500000000009</v>
      </c>
    </row>
    <row r="60" spans="1:6" ht="14" customHeight="1">
      <c r="A60" s="429">
        <v>44512</v>
      </c>
      <c r="B60" s="428" t="s">
        <v>124</v>
      </c>
      <c r="C60" s="434" t="s">
        <v>409</v>
      </c>
      <c r="D60" s="368"/>
      <c r="E60" s="477">
        <v>14.4</v>
      </c>
      <c r="F60" s="366">
        <f t="shared" si="6"/>
        <v>2065.940000000001</v>
      </c>
    </row>
    <row r="61" spans="1:6" ht="14" customHeight="1">
      <c r="A61" s="429">
        <v>44512</v>
      </c>
      <c r="B61" s="428" t="s">
        <v>124</v>
      </c>
      <c r="C61" s="434" t="s">
        <v>410</v>
      </c>
      <c r="D61" s="368"/>
      <c r="E61" s="477">
        <v>100</v>
      </c>
      <c r="F61" s="366">
        <f t="shared" si="6"/>
        <v>2080.3400000000011</v>
      </c>
    </row>
    <row r="62" spans="1:6" ht="14" customHeight="1">
      <c r="A62" s="429">
        <v>44512</v>
      </c>
      <c r="B62" s="428" t="s">
        <v>124</v>
      </c>
      <c r="C62" s="434" t="s">
        <v>411</v>
      </c>
      <c r="D62" s="368"/>
      <c r="E62" s="477">
        <v>450</v>
      </c>
      <c r="F62" s="366">
        <f t="shared" si="6"/>
        <v>2180.3400000000011</v>
      </c>
    </row>
    <row r="63" spans="1:6" ht="14" customHeight="1">
      <c r="A63" s="429">
        <v>44512</v>
      </c>
      <c r="B63" s="428" t="s">
        <v>124</v>
      </c>
      <c r="C63" s="434" t="s">
        <v>412</v>
      </c>
      <c r="D63" s="368"/>
      <c r="E63" s="477">
        <v>450</v>
      </c>
      <c r="F63" s="366">
        <f t="shared" si="6"/>
        <v>2630.3400000000011</v>
      </c>
    </row>
    <row r="64" spans="1:6" ht="14" customHeight="1">
      <c r="A64" s="429">
        <v>44512</v>
      </c>
      <c r="B64" s="428" t="s">
        <v>124</v>
      </c>
      <c r="C64" s="434" t="s">
        <v>413</v>
      </c>
      <c r="D64" s="368"/>
      <c r="E64" s="477">
        <v>350</v>
      </c>
      <c r="F64" s="366">
        <f t="shared" si="6"/>
        <v>3080.3400000000011</v>
      </c>
    </row>
    <row r="65" spans="1:6" ht="14" customHeight="1">
      <c r="A65" s="429">
        <v>44512</v>
      </c>
      <c r="B65" s="428" t="s">
        <v>124</v>
      </c>
      <c r="C65" s="434" t="s">
        <v>414</v>
      </c>
      <c r="D65" s="368"/>
      <c r="E65" s="477">
        <v>183.2</v>
      </c>
      <c r="F65" s="366">
        <f t="shared" si="6"/>
        <v>3430.3400000000011</v>
      </c>
    </row>
    <row r="66" spans="1:6" ht="14" customHeight="1">
      <c r="A66" s="429">
        <v>44512</v>
      </c>
      <c r="B66" s="428" t="s">
        <v>124</v>
      </c>
      <c r="C66" s="434" t="s">
        <v>415</v>
      </c>
      <c r="D66" s="368"/>
      <c r="E66" s="477">
        <v>607.5</v>
      </c>
      <c r="F66" s="366">
        <f t="shared" si="6"/>
        <v>3613.5400000000009</v>
      </c>
    </row>
    <row r="67" spans="1:6" ht="14" customHeight="1">
      <c r="A67" s="429">
        <v>44512</v>
      </c>
      <c r="B67" s="428" t="s">
        <v>124</v>
      </c>
      <c r="C67" s="434" t="s">
        <v>416</v>
      </c>
      <c r="D67" s="368"/>
      <c r="E67" s="477">
        <v>150</v>
      </c>
      <c r="F67" s="366">
        <f t="shared" si="6"/>
        <v>4221.0400000000009</v>
      </c>
    </row>
    <row r="68" spans="1:6" ht="14" customHeight="1">
      <c r="A68" s="429">
        <v>44512</v>
      </c>
      <c r="B68" s="428" t="s">
        <v>124</v>
      </c>
      <c r="C68" s="434" t="s">
        <v>417</v>
      </c>
      <c r="D68" s="368"/>
      <c r="E68" s="477">
        <v>13000</v>
      </c>
      <c r="F68" s="366">
        <f t="shared" si="6"/>
        <v>4371.0400000000009</v>
      </c>
    </row>
    <row r="69" spans="1:6" ht="14" customHeight="1">
      <c r="A69" s="429">
        <v>44512</v>
      </c>
      <c r="B69" s="428" t="s">
        <v>122</v>
      </c>
      <c r="C69" s="434" t="s">
        <v>404</v>
      </c>
      <c r="D69" s="368">
        <v>35.36</v>
      </c>
      <c r="E69" s="477"/>
      <c r="F69" s="366">
        <f t="shared" si="6"/>
        <v>17371.04</v>
      </c>
    </row>
    <row r="70" spans="1:6" ht="14" customHeight="1">
      <c r="A70" s="429">
        <v>44508</v>
      </c>
      <c r="B70" s="428" t="s">
        <v>122</v>
      </c>
      <c r="C70" s="434" t="s">
        <v>404</v>
      </c>
      <c r="D70" s="368">
        <v>29.47</v>
      </c>
      <c r="E70" s="477"/>
      <c r="F70" s="366">
        <f t="shared" si="6"/>
        <v>17335.68</v>
      </c>
    </row>
    <row r="71" spans="1:6" ht="14" customHeight="1">
      <c r="A71" s="429">
        <v>44508</v>
      </c>
      <c r="B71" s="428" t="s">
        <v>122</v>
      </c>
      <c r="C71" s="434" t="s">
        <v>418</v>
      </c>
      <c r="D71" s="368">
        <v>6000</v>
      </c>
      <c r="E71" s="477"/>
      <c r="F71" s="366">
        <f t="shared" si="6"/>
        <v>17306.21</v>
      </c>
    </row>
    <row r="72" spans="1:6" ht="14" customHeight="1">
      <c r="A72" s="429">
        <v>44505</v>
      </c>
      <c r="B72" s="428" t="s">
        <v>149</v>
      </c>
      <c r="C72" s="434" t="s">
        <v>419</v>
      </c>
      <c r="D72" s="368"/>
      <c r="E72" s="477">
        <v>75</v>
      </c>
      <c r="F72" s="366">
        <f t="shared" si="6"/>
        <v>11306.210000000001</v>
      </c>
    </row>
    <row r="73" spans="1:6" ht="14" customHeight="1">
      <c r="A73" s="429">
        <v>44503</v>
      </c>
      <c r="B73" s="428" t="s">
        <v>124</v>
      </c>
      <c r="C73" s="434" t="s">
        <v>420</v>
      </c>
      <c r="D73" s="368"/>
      <c r="E73" s="477">
        <v>38.700000000000003</v>
      </c>
      <c r="F73" s="366">
        <f t="shared" si="6"/>
        <v>11381.210000000001</v>
      </c>
    </row>
    <row r="74" spans="1:6" ht="14" customHeight="1">
      <c r="A74" s="429">
        <v>44503</v>
      </c>
      <c r="B74" s="428" t="s">
        <v>124</v>
      </c>
      <c r="C74" s="434" t="s">
        <v>421</v>
      </c>
      <c r="D74" s="368"/>
      <c r="E74" s="477">
        <v>160</v>
      </c>
      <c r="F74" s="366">
        <f t="shared" si="6"/>
        <v>11419.910000000002</v>
      </c>
    </row>
    <row r="75" spans="1:6" ht="14" customHeight="1">
      <c r="A75" s="429">
        <v>44498</v>
      </c>
      <c r="B75" s="428" t="s">
        <v>122</v>
      </c>
      <c r="C75" s="434" t="s">
        <v>404</v>
      </c>
      <c r="D75" s="368">
        <v>35.36</v>
      </c>
      <c r="E75" s="477"/>
      <c r="F75" s="366">
        <f t="shared" si="6"/>
        <v>11579.910000000002</v>
      </c>
    </row>
    <row r="76" spans="1:6" ht="14" customHeight="1">
      <c r="A76" s="429">
        <v>44489</v>
      </c>
      <c r="B76" s="428" t="s">
        <v>122</v>
      </c>
      <c r="C76" s="434" t="s">
        <v>422</v>
      </c>
      <c r="D76" s="368">
        <v>130</v>
      </c>
      <c r="E76" s="477"/>
      <c r="F76" s="366">
        <f t="shared" si="6"/>
        <v>11544.550000000001</v>
      </c>
    </row>
    <row r="77" spans="1:6" ht="14" customHeight="1">
      <c r="A77" s="429">
        <v>44489</v>
      </c>
      <c r="B77" s="428" t="s">
        <v>122</v>
      </c>
      <c r="C77" s="434" t="s">
        <v>423</v>
      </c>
      <c r="D77" s="368">
        <v>40</v>
      </c>
      <c r="E77" s="477"/>
      <c r="F77" s="366">
        <f t="shared" si="6"/>
        <v>11414.550000000001</v>
      </c>
    </row>
    <row r="78" spans="1:6" ht="14" customHeight="1">
      <c r="A78" s="429">
        <v>44489</v>
      </c>
      <c r="B78" s="428" t="s">
        <v>122</v>
      </c>
      <c r="C78" s="434" t="s">
        <v>424</v>
      </c>
      <c r="D78" s="368">
        <v>2</v>
      </c>
      <c r="E78" s="477"/>
      <c r="F78" s="366">
        <f t="shared" si="6"/>
        <v>11374.550000000001</v>
      </c>
    </row>
    <row r="79" spans="1:6" ht="14" customHeight="1">
      <c r="A79" s="429">
        <v>44483</v>
      </c>
      <c r="B79" s="428" t="s">
        <v>153</v>
      </c>
      <c r="C79" s="434" t="s">
        <v>425</v>
      </c>
      <c r="D79" s="368"/>
      <c r="E79" s="477">
        <v>13.19</v>
      </c>
      <c r="F79" s="366">
        <f t="shared" si="6"/>
        <v>11372.550000000001</v>
      </c>
    </row>
    <row r="80" spans="1:6" ht="14" customHeight="1">
      <c r="A80" s="429">
        <v>44481</v>
      </c>
      <c r="B80" s="428" t="s">
        <v>122</v>
      </c>
      <c r="C80" s="434" t="s">
        <v>426</v>
      </c>
      <c r="D80" s="368">
        <v>6000</v>
      </c>
      <c r="E80" s="477"/>
      <c r="F80" s="366">
        <f t="shared" si="6"/>
        <v>11385.740000000002</v>
      </c>
    </row>
    <row r="81" spans="1:6" ht="14" customHeight="1">
      <c r="A81" s="429">
        <v>44477</v>
      </c>
      <c r="B81" s="428" t="s">
        <v>124</v>
      </c>
      <c r="C81" s="434" t="s">
        <v>427</v>
      </c>
      <c r="D81" s="368"/>
      <c r="E81" s="477">
        <v>103</v>
      </c>
      <c r="F81" s="366">
        <f t="shared" si="6"/>
        <v>5385.7400000000007</v>
      </c>
    </row>
    <row r="82" spans="1:6" ht="14" customHeight="1">
      <c r="A82" s="429">
        <v>44476</v>
      </c>
      <c r="B82" s="428" t="s">
        <v>124</v>
      </c>
      <c r="C82" s="434" t="s">
        <v>428</v>
      </c>
      <c r="D82" s="368"/>
      <c r="E82" s="477">
        <v>31</v>
      </c>
      <c r="F82" s="366">
        <f t="shared" si="6"/>
        <v>5488.7400000000007</v>
      </c>
    </row>
    <row r="83" spans="1:6" ht="14" customHeight="1">
      <c r="A83" s="429">
        <v>44475</v>
      </c>
      <c r="B83" s="428" t="s">
        <v>122</v>
      </c>
      <c r="C83" s="434" t="s">
        <v>429</v>
      </c>
      <c r="D83" s="368">
        <v>45</v>
      </c>
      <c r="E83" s="477"/>
      <c r="F83" s="366">
        <f t="shared" si="6"/>
        <v>5519.7400000000007</v>
      </c>
    </row>
    <row r="84" spans="1:6" ht="14" customHeight="1">
      <c r="A84" s="429">
        <v>44474</v>
      </c>
      <c r="B84" s="428" t="s">
        <v>149</v>
      </c>
      <c r="C84" s="434" t="s">
        <v>430</v>
      </c>
      <c r="D84" s="368"/>
      <c r="E84" s="477">
        <v>75</v>
      </c>
      <c r="F84" s="366">
        <f t="shared" si="6"/>
        <v>5474.7400000000007</v>
      </c>
    </row>
    <row r="85" spans="1:6" ht="14" customHeight="1">
      <c r="A85" s="429">
        <v>44473</v>
      </c>
      <c r="B85" s="428" t="s">
        <v>124</v>
      </c>
      <c r="C85" s="434" t="s">
        <v>431</v>
      </c>
      <c r="D85" s="368"/>
      <c r="E85" s="477">
        <v>21</v>
      </c>
      <c r="F85" s="366">
        <f t="shared" si="6"/>
        <v>5549.7400000000007</v>
      </c>
    </row>
    <row r="86" spans="1:6" ht="14" customHeight="1">
      <c r="A86" s="429">
        <v>44473</v>
      </c>
      <c r="B86" s="428" t="s">
        <v>124</v>
      </c>
      <c r="C86" s="434" t="s">
        <v>432</v>
      </c>
      <c r="D86" s="368"/>
      <c r="E86" s="477">
        <v>82.8</v>
      </c>
      <c r="F86" s="366">
        <f t="shared" si="6"/>
        <v>5570.7400000000007</v>
      </c>
    </row>
    <row r="87" spans="1:6" ht="14" customHeight="1">
      <c r="A87" s="429">
        <v>44473</v>
      </c>
      <c r="B87" s="428" t="s">
        <v>124</v>
      </c>
      <c r="C87" s="434" t="s">
        <v>433</v>
      </c>
      <c r="D87" s="368"/>
      <c r="E87" s="477">
        <v>31.5</v>
      </c>
      <c r="F87" s="366">
        <f t="shared" si="6"/>
        <v>5653.5400000000009</v>
      </c>
    </row>
    <row r="88" spans="1:6" ht="14" customHeight="1">
      <c r="A88" s="429">
        <v>44470</v>
      </c>
      <c r="B88" s="428" t="s">
        <v>149</v>
      </c>
      <c r="C88" s="434" t="s">
        <v>434</v>
      </c>
      <c r="D88" s="368"/>
      <c r="E88" s="477">
        <v>50</v>
      </c>
      <c r="F88" s="366">
        <f t="shared" si="6"/>
        <v>5685.0400000000009</v>
      </c>
    </row>
    <row r="89" spans="1:6" ht="14" customHeight="1">
      <c r="A89" s="429">
        <v>44466</v>
      </c>
      <c r="B89" s="428" t="s">
        <v>124</v>
      </c>
      <c r="C89" s="434" t="s">
        <v>435</v>
      </c>
      <c r="D89" s="368"/>
      <c r="E89" s="477">
        <v>31.5</v>
      </c>
      <c r="F89" s="366">
        <f t="shared" si="6"/>
        <v>5735.0400000000009</v>
      </c>
    </row>
    <row r="90" spans="1:6" ht="14" customHeight="1">
      <c r="A90" s="429">
        <v>44462</v>
      </c>
      <c r="B90" s="428" t="s">
        <v>122</v>
      </c>
      <c r="C90" s="434" t="s">
        <v>404</v>
      </c>
      <c r="D90" s="368">
        <v>24.55</v>
      </c>
      <c r="E90" s="477"/>
      <c r="F90" s="366">
        <f t="shared" si="6"/>
        <v>5766.5400000000009</v>
      </c>
    </row>
    <row r="91" spans="1:6" ht="14" customHeight="1">
      <c r="A91" s="429">
        <v>44459</v>
      </c>
      <c r="B91" s="428" t="s">
        <v>122</v>
      </c>
      <c r="C91" s="434" t="s">
        <v>436</v>
      </c>
      <c r="D91" s="368">
        <v>12</v>
      </c>
      <c r="E91" s="477"/>
      <c r="F91" s="366">
        <f t="shared" si="6"/>
        <v>5741.9900000000007</v>
      </c>
    </row>
    <row r="92" spans="1:6" ht="14" customHeight="1">
      <c r="A92" s="429">
        <v>44459</v>
      </c>
      <c r="B92" s="428" t="s">
        <v>122</v>
      </c>
      <c r="C92" s="434" t="s">
        <v>437</v>
      </c>
      <c r="D92" s="368">
        <v>213</v>
      </c>
      <c r="E92" s="477"/>
      <c r="F92" s="366">
        <f t="shared" si="6"/>
        <v>5729.9900000000007</v>
      </c>
    </row>
    <row r="93" spans="1:6" ht="14" customHeight="1">
      <c r="A93" s="429">
        <v>44459</v>
      </c>
      <c r="B93" s="428" t="s">
        <v>122</v>
      </c>
      <c r="C93" s="434" t="s">
        <v>438</v>
      </c>
      <c r="D93" s="368">
        <v>460</v>
      </c>
      <c r="E93" s="477"/>
      <c r="F93" s="366">
        <f t="shared" si="6"/>
        <v>5516.9900000000007</v>
      </c>
    </row>
    <row r="94" spans="1:6" ht="14" customHeight="1">
      <c r="A94" s="429">
        <v>44459</v>
      </c>
      <c r="B94" s="428" t="s">
        <v>122</v>
      </c>
      <c r="C94" s="434" t="s">
        <v>439</v>
      </c>
      <c r="D94" s="368">
        <v>7.9</v>
      </c>
      <c r="E94" s="477"/>
      <c r="F94" s="366">
        <f t="shared" si="6"/>
        <v>5056.9900000000007</v>
      </c>
    </row>
    <row r="95" spans="1:6" ht="14" customHeight="1">
      <c r="A95" s="429">
        <v>44459</v>
      </c>
      <c r="B95" s="428" t="s">
        <v>122</v>
      </c>
      <c r="C95" s="434" t="s">
        <v>440</v>
      </c>
      <c r="D95" s="368">
        <v>8</v>
      </c>
      <c r="E95" s="477"/>
      <c r="F95" s="366">
        <f t="shared" si="6"/>
        <v>5049.0900000000011</v>
      </c>
    </row>
    <row r="96" spans="1:6" ht="14" customHeight="1">
      <c r="A96" s="429">
        <v>44453</v>
      </c>
      <c r="B96" s="428" t="s">
        <v>153</v>
      </c>
      <c r="C96" s="434" t="s">
        <v>441</v>
      </c>
      <c r="D96" s="368"/>
      <c r="E96" s="477">
        <v>13.19</v>
      </c>
      <c r="F96" s="366">
        <f t="shared" si="6"/>
        <v>5041.0900000000011</v>
      </c>
    </row>
    <row r="97" spans="1:6" ht="14" customHeight="1">
      <c r="A97" s="429">
        <v>44445</v>
      </c>
      <c r="B97" s="428" t="s">
        <v>149</v>
      </c>
      <c r="C97" s="434" t="s">
        <v>442</v>
      </c>
      <c r="D97" s="368"/>
      <c r="E97" s="477">
        <v>75</v>
      </c>
      <c r="F97" s="366">
        <f t="shared" si="6"/>
        <v>5054.2800000000007</v>
      </c>
    </row>
    <row r="98" spans="1:6" ht="14" customHeight="1">
      <c r="A98" s="429">
        <v>44439</v>
      </c>
      <c r="B98" s="428" t="s">
        <v>124</v>
      </c>
      <c r="C98" s="434" t="s">
        <v>443</v>
      </c>
      <c r="D98" s="368"/>
      <c r="E98" s="477">
        <v>72.27</v>
      </c>
      <c r="F98" s="366">
        <f t="shared" si="6"/>
        <v>5129.2800000000007</v>
      </c>
    </row>
    <row r="99" spans="1:6" ht="14" customHeight="1">
      <c r="A99" s="429">
        <v>44424</v>
      </c>
      <c r="B99" s="428" t="s">
        <v>153</v>
      </c>
      <c r="C99" s="434" t="s">
        <v>444</v>
      </c>
      <c r="D99" s="368"/>
      <c r="E99" s="477">
        <v>13.19</v>
      </c>
      <c r="F99" s="366">
        <f t="shared" ref="F99:F127" si="7">F100-E99+D99</f>
        <v>5201.5500000000011</v>
      </c>
    </row>
    <row r="100" spans="1:6" ht="14" customHeight="1">
      <c r="A100" s="429">
        <v>44417</v>
      </c>
      <c r="B100" s="428" t="s">
        <v>122</v>
      </c>
      <c r="C100" s="434" t="s">
        <v>445</v>
      </c>
      <c r="D100" s="368">
        <v>48</v>
      </c>
      <c r="E100" s="477"/>
      <c r="F100" s="366">
        <f t="shared" si="7"/>
        <v>5214.7400000000007</v>
      </c>
    </row>
    <row r="101" spans="1:6" ht="14" customHeight="1">
      <c r="A101" s="429">
        <v>44417</v>
      </c>
      <c r="B101" s="428" t="s">
        <v>122</v>
      </c>
      <c r="C101" s="434" t="s">
        <v>446</v>
      </c>
      <c r="D101" s="368">
        <v>324</v>
      </c>
      <c r="E101" s="477"/>
      <c r="F101" s="366">
        <f t="shared" si="7"/>
        <v>5166.7400000000007</v>
      </c>
    </row>
    <row r="102" spans="1:6" ht="14" customHeight="1">
      <c r="A102" s="429">
        <v>44417</v>
      </c>
      <c r="B102" s="428" t="s">
        <v>122</v>
      </c>
      <c r="C102" s="434" t="s">
        <v>447</v>
      </c>
      <c r="D102" s="368">
        <v>75.55</v>
      </c>
      <c r="E102" s="477"/>
      <c r="F102" s="366">
        <f t="shared" si="7"/>
        <v>4842.7400000000007</v>
      </c>
    </row>
    <row r="103" spans="1:6" ht="14" customHeight="1">
      <c r="A103" s="429">
        <v>44413</v>
      </c>
      <c r="B103" s="428" t="s">
        <v>149</v>
      </c>
      <c r="C103" s="434" t="s">
        <v>448</v>
      </c>
      <c r="D103" s="368"/>
      <c r="E103" s="477">
        <v>75</v>
      </c>
      <c r="F103" s="366">
        <f t="shared" si="7"/>
        <v>4767.1900000000005</v>
      </c>
    </row>
    <row r="104" spans="1:6" ht="14" customHeight="1">
      <c r="A104" s="429">
        <v>44405</v>
      </c>
      <c r="B104" s="428" t="s">
        <v>132</v>
      </c>
      <c r="C104" s="434">
        <v>100352</v>
      </c>
      <c r="D104" s="368">
        <v>24</v>
      </c>
      <c r="E104" s="477"/>
      <c r="F104" s="366">
        <f t="shared" si="7"/>
        <v>4842.1900000000005</v>
      </c>
    </row>
    <row r="105" spans="1:6" ht="14" customHeight="1">
      <c r="A105" s="429">
        <v>44403</v>
      </c>
      <c r="B105" s="428" t="s">
        <v>124</v>
      </c>
      <c r="C105" s="434" t="s">
        <v>449</v>
      </c>
      <c r="D105" s="368"/>
      <c r="E105" s="477">
        <v>264.25</v>
      </c>
      <c r="F105" s="366">
        <f t="shared" si="7"/>
        <v>4818.1900000000005</v>
      </c>
    </row>
    <row r="106" spans="1:6" ht="14" customHeight="1">
      <c r="A106" s="429">
        <v>44391</v>
      </c>
      <c r="B106" s="428" t="s">
        <v>153</v>
      </c>
      <c r="C106" s="434" t="s">
        <v>450</v>
      </c>
      <c r="D106" s="368"/>
      <c r="E106" s="477">
        <v>13.19</v>
      </c>
      <c r="F106" s="366">
        <f t="shared" si="7"/>
        <v>5082.4400000000005</v>
      </c>
    </row>
    <row r="107" spans="1:6" ht="14" customHeight="1">
      <c r="A107" s="429">
        <v>44382</v>
      </c>
      <c r="B107" s="428" t="s">
        <v>149</v>
      </c>
      <c r="C107" s="434" t="s">
        <v>451</v>
      </c>
      <c r="D107" s="368"/>
      <c r="E107" s="477">
        <v>75</v>
      </c>
      <c r="F107" s="366">
        <f t="shared" si="7"/>
        <v>5095.63</v>
      </c>
    </row>
    <row r="108" spans="1:6" ht="14" customHeight="1">
      <c r="A108" s="429">
        <v>44378</v>
      </c>
      <c r="B108" s="428" t="s">
        <v>149</v>
      </c>
      <c r="C108" s="434" t="s">
        <v>452</v>
      </c>
      <c r="D108" s="368"/>
      <c r="E108" s="477">
        <v>50</v>
      </c>
      <c r="F108" s="366">
        <f t="shared" si="7"/>
        <v>5170.63</v>
      </c>
    </row>
    <row r="109" spans="1:6" ht="14" customHeight="1">
      <c r="A109" s="429">
        <v>44376</v>
      </c>
      <c r="B109" s="428" t="s">
        <v>122</v>
      </c>
      <c r="C109" s="434" t="s">
        <v>453</v>
      </c>
      <c r="D109" s="368">
        <v>2000</v>
      </c>
      <c r="E109" s="477"/>
      <c r="F109" s="366">
        <f t="shared" si="7"/>
        <v>5220.63</v>
      </c>
    </row>
    <row r="110" spans="1:6" ht="14" customHeight="1">
      <c r="A110" s="429">
        <v>44376</v>
      </c>
      <c r="B110" s="428" t="s">
        <v>122</v>
      </c>
      <c r="C110" s="434" t="s">
        <v>454</v>
      </c>
      <c r="D110" s="368">
        <v>2000</v>
      </c>
      <c r="E110" s="477"/>
      <c r="F110" s="366">
        <f t="shared" si="7"/>
        <v>3220.63</v>
      </c>
    </row>
    <row r="111" spans="1:6" ht="14" customHeight="1">
      <c r="A111" s="429">
        <v>44370</v>
      </c>
      <c r="B111" s="428" t="s">
        <v>124</v>
      </c>
      <c r="C111" s="434" t="s">
        <v>455</v>
      </c>
      <c r="D111" s="368"/>
      <c r="E111" s="477">
        <v>5</v>
      </c>
      <c r="F111" s="366">
        <f t="shared" si="7"/>
        <v>1220.6299999999999</v>
      </c>
    </row>
    <row r="112" spans="1:6" ht="14" customHeight="1">
      <c r="A112" s="429">
        <v>44368</v>
      </c>
      <c r="B112" s="428" t="s">
        <v>122</v>
      </c>
      <c r="C112" s="434" t="s">
        <v>456</v>
      </c>
      <c r="D112" s="368">
        <v>12</v>
      </c>
      <c r="E112" s="477"/>
      <c r="F112" s="366">
        <f t="shared" si="7"/>
        <v>1225.6299999999999</v>
      </c>
    </row>
    <row r="113" spans="1:6" ht="14" customHeight="1">
      <c r="A113" s="429">
        <v>44365</v>
      </c>
      <c r="B113" s="428" t="s">
        <v>124</v>
      </c>
      <c r="C113" s="434" t="s">
        <v>457</v>
      </c>
      <c r="D113" s="368"/>
      <c r="E113" s="477">
        <v>443</v>
      </c>
      <c r="F113" s="366">
        <f t="shared" si="7"/>
        <v>1213.6299999999999</v>
      </c>
    </row>
    <row r="114" spans="1:6" ht="14" customHeight="1">
      <c r="A114" s="429">
        <v>44361</v>
      </c>
      <c r="B114" s="428" t="s">
        <v>153</v>
      </c>
      <c r="C114" s="434" t="s">
        <v>458</v>
      </c>
      <c r="D114" s="368"/>
      <c r="E114" s="477">
        <v>13.19</v>
      </c>
      <c r="F114" s="366">
        <f t="shared" si="7"/>
        <v>1656.6299999999999</v>
      </c>
    </row>
    <row r="115" spans="1:6" ht="14" customHeight="1">
      <c r="A115" s="429">
        <v>44354</v>
      </c>
      <c r="B115" s="428" t="s">
        <v>149</v>
      </c>
      <c r="C115" s="434" t="s">
        <v>459</v>
      </c>
      <c r="D115" s="368"/>
      <c r="E115" s="477">
        <v>75</v>
      </c>
      <c r="F115" s="366">
        <f t="shared" si="7"/>
        <v>1669.82</v>
      </c>
    </row>
    <row r="116" spans="1:6" ht="14" customHeight="1">
      <c r="A116" s="429">
        <v>44354</v>
      </c>
      <c r="B116" s="428" t="s">
        <v>122</v>
      </c>
      <c r="C116" s="434" t="s">
        <v>460</v>
      </c>
      <c r="D116" s="368">
        <v>11</v>
      </c>
      <c r="E116" s="477"/>
      <c r="F116" s="366">
        <f t="shared" si="7"/>
        <v>1744.82</v>
      </c>
    </row>
    <row r="117" spans="1:6" ht="14" customHeight="1">
      <c r="A117" s="429">
        <v>44354</v>
      </c>
      <c r="B117" s="428" t="s">
        <v>122</v>
      </c>
      <c r="C117" s="434" t="s">
        <v>461</v>
      </c>
      <c r="D117" s="368">
        <v>267</v>
      </c>
      <c r="E117" s="477"/>
      <c r="F117" s="366">
        <f t="shared" si="7"/>
        <v>1733.82</v>
      </c>
    </row>
    <row r="118" spans="1:6" ht="14" customHeight="1">
      <c r="A118" s="429">
        <v>44342</v>
      </c>
      <c r="B118" s="428" t="s">
        <v>153</v>
      </c>
      <c r="C118" s="434" t="s">
        <v>462</v>
      </c>
      <c r="D118" s="368"/>
      <c r="E118" s="477">
        <v>79.19</v>
      </c>
      <c r="F118" s="366">
        <f t="shared" si="7"/>
        <v>1466.82</v>
      </c>
    </row>
    <row r="119" spans="1:6" ht="14" customHeight="1">
      <c r="A119" s="429">
        <v>44337</v>
      </c>
      <c r="B119" s="428" t="s">
        <v>124</v>
      </c>
      <c r="C119" s="434" t="s">
        <v>463</v>
      </c>
      <c r="D119" s="368"/>
      <c r="E119" s="477">
        <v>50</v>
      </c>
      <c r="F119" s="366">
        <f t="shared" si="7"/>
        <v>1546.01</v>
      </c>
    </row>
    <row r="120" spans="1:6" ht="14" customHeight="1">
      <c r="A120" s="429">
        <v>44337</v>
      </c>
      <c r="B120" s="428" t="s">
        <v>124</v>
      </c>
      <c r="C120" s="434" t="s">
        <v>427</v>
      </c>
      <c r="D120" s="368"/>
      <c r="E120" s="477">
        <v>44.5</v>
      </c>
      <c r="F120" s="366">
        <f t="shared" si="7"/>
        <v>1596.01</v>
      </c>
    </row>
    <row r="121" spans="1:6" ht="14" customHeight="1">
      <c r="A121" s="429">
        <v>44333</v>
      </c>
      <c r="B121" s="428" t="s">
        <v>153</v>
      </c>
      <c r="C121" s="434" t="s">
        <v>464</v>
      </c>
      <c r="D121" s="368"/>
      <c r="E121" s="477">
        <v>13.19</v>
      </c>
      <c r="F121" s="366">
        <f t="shared" si="7"/>
        <v>1640.51</v>
      </c>
    </row>
    <row r="122" spans="1:6" ht="14" customHeight="1">
      <c r="A122" s="429">
        <v>44333</v>
      </c>
      <c r="B122" s="428" t="s">
        <v>122</v>
      </c>
      <c r="C122" s="434" t="s">
        <v>465</v>
      </c>
      <c r="D122" s="368">
        <v>95</v>
      </c>
      <c r="E122" s="477"/>
      <c r="F122" s="366">
        <f t="shared" si="7"/>
        <v>1653.7</v>
      </c>
    </row>
    <row r="123" spans="1:6" ht="14" customHeight="1">
      <c r="A123" s="429">
        <v>44321</v>
      </c>
      <c r="B123" s="428" t="s">
        <v>149</v>
      </c>
      <c r="C123" s="434" t="s">
        <v>466</v>
      </c>
      <c r="D123" s="368"/>
      <c r="E123" s="477">
        <v>75</v>
      </c>
      <c r="F123" s="366">
        <f t="shared" si="7"/>
        <v>1558.7</v>
      </c>
    </row>
    <row r="124" spans="1:6" ht="14" customHeight="1">
      <c r="A124" s="429">
        <v>44320</v>
      </c>
      <c r="B124" s="428" t="s">
        <v>153</v>
      </c>
      <c r="C124" s="434" t="s">
        <v>467</v>
      </c>
      <c r="D124" s="368"/>
      <c r="E124" s="477">
        <v>15.59</v>
      </c>
      <c r="F124" s="366">
        <f t="shared" si="7"/>
        <v>1633.7</v>
      </c>
    </row>
    <row r="125" spans="1:6" ht="14" customHeight="1">
      <c r="A125" s="429">
        <v>44320</v>
      </c>
      <c r="B125" s="428" t="s">
        <v>122</v>
      </c>
      <c r="C125" s="434" t="s">
        <v>468</v>
      </c>
      <c r="D125" s="368">
        <v>169.05</v>
      </c>
      <c r="E125" s="477"/>
      <c r="F125" s="366">
        <f t="shared" si="7"/>
        <v>1649.29</v>
      </c>
    </row>
    <row r="126" spans="1:6" ht="14" customHeight="1">
      <c r="A126" s="429">
        <v>44320</v>
      </c>
      <c r="B126" s="428" t="s">
        <v>122</v>
      </c>
      <c r="C126" s="434" t="s">
        <v>469</v>
      </c>
      <c r="D126" s="368">
        <v>76</v>
      </c>
      <c r="E126" s="477"/>
      <c r="F126" s="366">
        <f t="shared" si="7"/>
        <v>1480.24</v>
      </c>
    </row>
    <row r="127" spans="1:6" ht="14" customHeight="1">
      <c r="A127" s="429">
        <v>44305</v>
      </c>
      <c r="B127" s="428" t="s">
        <v>122</v>
      </c>
      <c r="C127" s="434" t="s">
        <v>470</v>
      </c>
      <c r="D127" s="368">
        <v>104</v>
      </c>
      <c r="E127" s="477"/>
      <c r="F127" s="366">
        <f t="shared" si="7"/>
        <v>1404.24</v>
      </c>
    </row>
    <row r="128" spans="1:6" ht="14" customHeight="1">
      <c r="A128" s="429">
        <v>44305</v>
      </c>
      <c r="B128" s="428" t="s">
        <v>122</v>
      </c>
      <c r="C128" s="434" t="s">
        <v>471</v>
      </c>
      <c r="D128" s="368">
        <v>115</v>
      </c>
      <c r="E128" s="477"/>
      <c r="F128" s="366">
        <f>F129-E128+D128</f>
        <v>1300.24</v>
      </c>
    </row>
    <row r="129" spans="1:6" ht="14" customHeight="1">
      <c r="A129" s="429">
        <v>44301</v>
      </c>
      <c r="B129" s="428" t="s">
        <v>153</v>
      </c>
      <c r="C129" s="434" t="s">
        <v>472</v>
      </c>
      <c r="D129" s="368"/>
      <c r="E129" s="477">
        <v>13.19</v>
      </c>
      <c r="F129" s="366">
        <f>F130-E129</f>
        <v>1185.24</v>
      </c>
    </row>
    <row r="130" spans="1:6" ht="14" customHeight="1">
      <c r="A130" s="429">
        <v>44292</v>
      </c>
      <c r="B130" s="428" t="s">
        <v>149</v>
      </c>
      <c r="C130" s="434" t="s">
        <v>473</v>
      </c>
      <c r="D130" s="368"/>
      <c r="E130" s="477">
        <v>75</v>
      </c>
      <c r="F130" s="366">
        <f t="shared" ref="F130:F131" si="8">F131-E130</f>
        <v>1198.43</v>
      </c>
    </row>
    <row r="131" spans="1:6" ht="14" customHeight="1">
      <c r="A131" s="429">
        <v>44287</v>
      </c>
      <c r="B131" s="428" t="s">
        <v>149</v>
      </c>
      <c r="C131" s="434" t="s">
        <v>474</v>
      </c>
      <c r="D131" s="368"/>
      <c r="E131" s="477">
        <v>50</v>
      </c>
      <c r="F131" s="366">
        <f t="shared" si="8"/>
        <v>1273.43</v>
      </c>
    </row>
    <row r="132" spans="1:6" ht="14" customHeight="1">
      <c r="A132" s="429">
        <v>44287</v>
      </c>
      <c r="B132" s="428" t="s">
        <v>124</v>
      </c>
      <c r="C132" s="434" t="s">
        <v>475</v>
      </c>
      <c r="D132" s="368"/>
      <c r="E132" s="477">
        <v>100</v>
      </c>
      <c r="F132" s="366">
        <f>F133-E132</f>
        <v>1323.43</v>
      </c>
    </row>
    <row r="133" spans="1:6" ht="14" customHeight="1">
      <c r="A133" s="429">
        <v>44287</v>
      </c>
      <c r="B133" s="428" t="s">
        <v>124</v>
      </c>
      <c r="C133" s="434" t="s">
        <v>476</v>
      </c>
      <c r="D133" s="368"/>
      <c r="E133" s="477">
        <v>40</v>
      </c>
      <c r="F133" s="366">
        <v>1423.43</v>
      </c>
    </row>
    <row r="134" spans="1:6" ht="14" customHeight="1">
      <c r="A134" s="429"/>
      <c r="B134" s="428"/>
      <c r="C134" s="434" t="s">
        <v>385</v>
      </c>
      <c r="D134" s="368"/>
      <c r="E134" s="366"/>
      <c r="F134" s="377">
        <v>1463.53</v>
      </c>
    </row>
    <row r="135" spans="1:6" ht="14" customHeight="1">
      <c r="A135" s="429"/>
      <c r="B135" s="428"/>
      <c r="C135" s="434"/>
      <c r="D135" s="368"/>
      <c r="E135" s="366"/>
      <c r="F135" s="366"/>
    </row>
    <row r="136" spans="1:6" ht="14" customHeight="1">
      <c r="A136" s="429"/>
      <c r="B136" s="428"/>
      <c r="C136" s="434"/>
      <c r="D136" s="368"/>
      <c r="E136" s="366"/>
      <c r="F136" s="366"/>
    </row>
    <row r="137" spans="1:6" ht="14" customHeight="1">
      <c r="A137" s="429"/>
      <c r="B137" s="428"/>
      <c r="C137" s="434"/>
      <c r="D137" s="368"/>
      <c r="E137" s="366"/>
      <c r="F137" s="366"/>
    </row>
    <row r="138" spans="1:6" ht="14" customHeight="1">
      <c r="A138" s="429"/>
      <c r="B138" s="428"/>
      <c r="C138" s="434"/>
      <c r="D138" s="368"/>
      <c r="E138" s="366"/>
      <c r="F138" s="366"/>
    </row>
    <row r="139" spans="1:6" ht="14" customHeight="1">
      <c r="A139" s="474"/>
      <c r="B139" s="473"/>
      <c r="C139" s="473"/>
      <c r="D139" s="473"/>
      <c r="E139" s="473"/>
    </row>
    <row r="140" spans="1:6" ht="14" customHeight="1">
      <c r="A140" s="474"/>
      <c r="B140" s="473"/>
      <c r="C140" s="473"/>
      <c r="D140" s="473"/>
      <c r="E140" s="473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  <ignoredErrors>
    <ignoredError sqref="F12" formula="1"/>
    <ignoredError sqref="D7 D33:D34 C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1660-B150-44B0-BEBE-854455742C12}">
  <sheetPr>
    <pageSetUpPr fitToPage="1"/>
  </sheetPr>
  <dimension ref="A1:V115"/>
  <sheetViews>
    <sheetView topLeftCell="A97" workbookViewId="0">
      <selection activeCell="G114" sqref="G114"/>
    </sheetView>
  </sheetViews>
  <sheetFormatPr baseColWidth="10" defaultColWidth="16.33203125" defaultRowHeight="13"/>
  <cols>
    <col min="1" max="1" width="17" style="1" customWidth="1"/>
    <col min="2" max="2" width="6.33203125" style="1" customWidth="1"/>
    <col min="3" max="3" width="22.33203125" style="1" customWidth="1"/>
    <col min="4" max="5" width="8" style="1" customWidth="1"/>
    <col min="6" max="6" width="9.1640625" style="1" customWidth="1"/>
    <col min="7" max="7" width="7.6640625" style="1" customWidth="1"/>
    <col min="8" max="8" width="8" style="1" customWidth="1"/>
    <col min="9" max="9" width="8.1640625" style="1" customWidth="1"/>
    <col min="10" max="10" width="7.1640625" style="1" customWidth="1"/>
    <col min="11" max="12" width="6.5" style="1" bestFit="1" customWidth="1"/>
    <col min="13" max="13" width="8" style="1" bestFit="1" customWidth="1"/>
    <col min="14" max="15" width="6.5" style="1" bestFit="1" customWidth="1"/>
    <col min="16" max="16" width="7.83203125" style="552" bestFit="1" customWidth="1"/>
    <col min="17" max="17" width="6.5" style="552" bestFit="1" customWidth="1"/>
    <col min="18" max="18" width="5.33203125" style="1" bestFit="1" customWidth="1"/>
    <col min="19" max="19" width="7.83203125" style="1" bestFit="1" customWidth="1"/>
    <col min="20" max="20" width="5.6640625" style="1" bestFit="1" customWidth="1"/>
    <col min="21" max="21" width="5.83203125" style="1" customWidth="1"/>
    <col min="22" max="22" width="6.5" style="1" customWidth="1"/>
    <col min="23" max="16384" width="16.33203125" style="1"/>
  </cols>
  <sheetData>
    <row r="1" spans="1:22" ht="17.25" customHeight="1">
      <c r="A1" s="589" t="s">
        <v>634</v>
      </c>
      <c r="B1" s="590"/>
      <c r="C1" s="591"/>
      <c r="D1" s="591"/>
      <c r="E1" s="591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</row>
    <row r="2" spans="1:22" ht="14.75" customHeight="1">
      <c r="A2" s="73"/>
      <c r="B2" s="70"/>
      <c r="C2" s="71"/>
      <c r="D2" s="74"/>
      <c r="E2" s="74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4.75" customHeight="1">
      <c r="A3" s="75"/>
      <c r="B3" s="593" t="s">
        <v>63</v>
      </c>
      <c r="C3" s="594"/>
      <c r="D3" s="74"/>
      <c r="E3" s="74"/>
      <c r="F3" s="72"/>
      <c r="G3" s="76" t="s">
        <v>64</v>
      </c>
      <c r="H3" s="76" t="s">
        <v>65</v>
      </c>
      <c r="I3" s="76" t="s">
        <v>66</v>
      </c>
      <c r="J3" s="72"/>
      <c r="K3" s="72"/>
      <c r="L3" s="72"/>
      <c r="M3" s="72"/>
      <c r="N3" s="76" t="s">
        <v>16</v>
      </c>
      <c r="O3" s="76" t="s">
        <v>503</v>
      </c>
      <c r="P3" s="76"/>
      <c r="Q3" s="76"/>
      <c r="R3" s="72"/>
      <c r="S3" s="72"/>
      <c r="T3" s="72"/>
      <c r="U3" s="72"/>
      <c r="V3" s="72"/>
    </row>
    <row r="4" spans="1:22" ht="26.75" customHeight="1">
      <c r="A4" s="77" t="s">
        <v>67</v>
      </c>
      <c r="B4" s="77" t="s">
        <v>68</v>
      </c>
      <c r="C4" s="77" t="s">
        <v>69</v>
      </c>
      <c r="D4" s="77" t="s">
        <v>8</v>
      </c>
      <c r="E4" s="77"/>
      <c r="F4" s="78" t="s">
        <v>70</v>
      </c>
      <c r="G4" s="79"/>
      <c r="H4" s="79"/>
      <c r="I4" s="78" t="s">
        <v>71</v>
      </c>
      <c r="J4" s="78" t="s">
        <v>10</v>
      </c>
      <c r="K4" s="78" t="s">
        <v>72</v>
      </c>
      <c r="L4" s="78" t="s">
        <v>73</v>
      </c>
      <c r="M4" s="78" t="s">
        <v>15</v>
      </c>
      <c r="N4" s="78" t="s">
        <v>13</v>
      </c>
      <c r="O4" s="78" t="s">
        <v>504</v>
      </c>
      <c r="P4" s="78" t="s">
        <v>74</v>
      </c>
      <c r="Q4" s="78" t="s">
        <v>17</v>
      </c>
      <c r="R4" s="78" t="s">
        <v>37</v>
      </c>
      <c r="S4" s="78" t="s">
        <v>21</v>
      </c>
      <c r="T4" s="78" t="s">
        <v>22</v>
      </c>
      <c r="U4" s="78" t="s">
        <v>75</v>
      </c>
      <c r="V4" s="78" t="s">
        <v>76</v>
      </c>
    </row>
    <row r="5" spans="1:22" ht="12.5" customHeight="1">
      <c r="A5" s="80" t="s">
        <v>77</v>
      </c>
      <c r="B5" s="81"/>
      <c r="C5" s="82"/>
      <c r="D5" s="83"/>
      <c r="E5" s="484"/>
      <c r="F5" s="84"/>
      <c r="G5" s="85"/>
      <c r="H5" s="85"/>
      <c r="I5" s="85"/>
      <c r="J5" s="85"/>
      <c r="K5" s="85"/>
      <c r="L5" s="85"/>
      <c r="M5" s="85"/>
      <c r="N5" s="85"/>
      <c r="O5" s="85"/>
      <c r="P5" s="547"/>
      <c r="Q5" s="547"/>
      <c r="R5" s="85"/>
      <c r="S5" s="85"/>
      <c r="T5" s="85"/>
      <c r="U5" s="85"/>
      <c r="V5" s="85"/>
    </row>
    <row r="6" spans="1:22" ht="12.5" customHeight="1">
      <c r="A6" s="478"/>
      <c r="B6" s="479"/>
      <c r="C6" s="480"/>
      <c r="D6" s="481"/>
      <c r="E6" s="485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548"/>
      <c r="Q6" s="548"/>
      <c r="R6" s="483"/>
      <c r="S6" s="483"/>
      <c r="T6" s="483"/>
      <c r="U6" s="483"/>
      <c r="V6" s="483"/>
    </row>
    <row r="7" spans="1:22" ht="12.25" customHeight="1">
      <c r="A7" s="86">
        <v>45379</v>
      </c>
      <c r="B7" s="87" t="s">
        <v>109</v>
      </c>
      <c r="C7" s="88" t="s">
        <v>514</v>
      </c>
      <c r="D7" s="89">
        <v>6.68</v>
      </c>
      <c r="E7" s="486"/>
      <c r="F7" s="90"/>
      <c r="G7" s="91">
        <f>D7</f>
        <v>6.68</v>
      </c>
      <c r="H7" s="91"/>
      <c r="I7" s="91"/>
      <c r="J7" s="91"/>
      <c r="K7" s="91"/>
      <c r="L7" s="91"/>
      <c r="M7" s="91"/>
      <c r="N7" s="91"/>
      <c r="O7" s="91"/>
      <c r="P7" s="549"/>
      <c r="Q7" s="549"/>
      <c r="R7" s="91"/>
      <c r="S7" s="91"/>
      <c r="T7" s="91"/>
      <c r="U7" s="91"/>
      <c r="V7" s="91"/>
    </row>
    <row r="8" spans="1:22" ht="12.25" customHeight="1">
      <c r="A8" s="86">
        <v>45351</v>
      </c>
      <c r="B8" s="87" t="s">
        <v>109</v>
      </c>
      <c r="C8" s="88" t="s">
        <v>515</v>
      </c>
      <c r="D8" s="89">
        <v>6.91</v>
      </c>
      <c r="E8" s="486"/>
      <c r="F8" s="90"/>
      <c r="G8" s="91">
        <f t="shared" ref="G8:G19" si="0">D8</f>
        <v>6.91</v>
      </c>
      <c r="H8" s="91"/>
      <c r="I8" s="91"/>
      <c r="J8" s="91"/>
      <c r="K8" s="91"/>
      <c r="L8" s="91"/>
      <c r="M8" s="91"/>
      <c r="N8" s="91"/>
      <c r="O8" s="91"/>
      <c r="P8" s="549"/>
      <c r="Q8" s="549"/>
      <c r="R8" s="91"/>
      <c r="S8" s="91"/>
      <c r="T8" s="91"/>
      <c r="U8" s="91"/>
      <c r="V8" s="91"/>
    </row>
    <row r="9" spans="1:22" ht="12.25" customHeight="1">
      <c r="A9" s="86">
        <v>45322</v>
      </c>
      <c r="B9" s="87" t="s">
        <v>109</v>
      </c>
      <c r="C9" s="88" t="s">
        <v>198</v>
      </c>
      <c r="D9" s="89">
        <v>7.85</v>
      </c>
      <c r="E9" s="486"/>
      <c r="F9" s="90"/>
      <c r="G9" s="91">
        <f t="shared" si="0"/>
        <v>7.85</v>
      </c>
      <c r="H9" s="91"/>
      <c r="I9" s="91"/>
      <c r="J9" s="91"/>
      <c r="K9" s="91"/>
      <c r="L9" s="91"/>
      <c r="M9" s="91"/>
      <c r="N9" s="91"/>
      <c r="O9" s="91"/>
      <c r="P9" s="549"/>
      <c r="Q9" s="549"/>
      <c r="R9" s="91"/>
      <c r="S9" s="91"/>
      <c r="T9" s="91"/>
      <c r="U9" s="91"/>
      <c r="V9" s="91"/>
    </row>
    <row r="10" spans="1:22" ht="12.25" customHeight="1">
      <c r="A10" s="86">
        <v>45289</v>
      </c>
      <c r="B10" s="87" t="s">
        <v>109</v>
      </c>
      <c r="C10" s="88" t="s">
        <v>340</v>
      </c>
      <c r="D10" s="89">
        <v>24.35</v>
      </c>
      <c r="E10" s="486"/>
      <c r="F10" s="90"/>
      <c r="G10" s="91">
        <f t="shared" si="0"/>
        <v>24.35</v>
      </c>
      <c r="H10" s="91"/>
      <c r="I10" s="91"/>
      <c r="J10" s="91"/>
      <c r="K10" s="91"/>
      <c r="L10" s="91"/>
      <c r="M10" s="91"/>
      <c r="N10" s="91"/>
      <c r="O10" s="91"/>
      <c r="P10" s="549"/>
      <c r="Q10" s="549"/>
      <c r="R10" s="91"/>
      <c r="S10" s="91"/>
      <c r="T10" s="91"/>
      <c r="U10" s="91"/>
      <c r="V10" s="91"/>
    </row>
    <row r="11" spans="1:22" ht="12.25" customHeight="1">
      <c r="A11" s="86">
        <v>45260</v>
      </c>
      <c r="B11" s="87" t="s">
        <v>109</v>
      </c>
      <c r="C11" s="88" t="s">
        <v>120</v>
      </c>
      <c r="D11" s="89">
        <v>30.91</v>
      </c>
      <c r="E11" s="486"/>
      <c r="F11" s="90"/>
      <c r="G11" s="91">
        <f t="shared" si="0"/>
        <v>30.91</v>
      </c>
      <c r="H11" s="91"/>
      <c r="I11" s="91"/>
      <c r="J11" s="91"/>
      <c r="K11" s="91"/>
      <c r="L11" s="91"/>
      <c r="M11" s="91"/>
      <c r="N11" s="91"/>
      <c r="O11" s="91"/>
      <c r="P11" s="549"/>
      <c r="Q11" s="549"/>
      <c r="R11" s="91"/>
      <c r="S11" s="91"/>
      <c r="T11" s="91"/>
      <c r="U11" s="91"/>
      <c r="V11" s="91"/>
    </row>
    <row r="12" spans="1:22" ht="12.25" customHeight="1">
      <c r="A12" s="86">
        <v>45230</v>
      </c>
      <c r="B12" s="87" t="s">
        <v>109</v>
      </c>
      <c r="C12" s="88" t="s">
        <v>200</v>
      </c>
      <c r="D12" s="89">
        <v>32.93</v>
      </c>
      <c r="E12" s="486"/>
      <c r="F12" s="90"/>
      <c r="G12" s="91">
        <f t="shared" si="0"/>
        <v>32.93</v>
      </c>
      <c r="H12" s="91"/>
      <c r="I12" s="91"/>
      <c r="J12" s="91"/>
      <c r="K12" s="91"/>
      <c r="L12" s="91"/>
      <c r="M12" s="91"/>
      <c r="N12" s="91"/>
      <c r="O12" s="91"/>
      <c r="P12" s="549"/>
      <c r="Q12" s="549"/>
      <c r="R12" s="91"/>
      <c r="S12" s="91"/>
      <c r="T12" s="91"/>
      <c r="U12" s="91"/>
      <c r="V12" s="91"/>
    </row>
    <row r="13" spans="1:22" ht="12.25" customHeight="1">
      <c r="A13" s="86">
        <v>45198</v>
      </c>
      <c r="B13" s="87" t="s">
        <v>109</v>
      </c>
      <c r="C13" s="88" t="s">
        <v>346</v>
      </c>
      <c r="D13" s="89">
        <v>29.81</v>
      </c>
      <c r="E13" s="486"/>
      <c r="F13" s="90"/>
      <c r="G13" s="91">
        <f t="shared" si="0"/>
        <v>29.81</v>
      </c>
      <c r="H13" s="91"/>
      <c r="I13" s="91"/>
      <c r="J13" s="91"/>
      <c r="K13" s="91"/>
      <c r="L13" s="91"/>
      <c r="M13" s="91"/>
      <c r="N13" s="91"/>
      <c r="O13" s="91"/>
      <c r="P13" s="549"/>
      <c r="Q13" s="549"/>
      <c r="R13" s="91"/>
      <c r="S13" s="91"/>
      <c r="T13" s="91"/>
      <c r="U13" s="91"/>
      <c r="V13" s="91"/>
    </row>
    <row r="14" spans="1:22" ht="12.25" customHeight="1">
      <c r="A14" s="86">
        <v>45169</v>
      </c>
      <c r="B14" s="87" t="s">
        <v>109</v>
      </c>
      <c r="C14" s="88" t="s">
        <v>267</v>
      </c>
      <c r="D14" s="89">
        <v>30.76</v>
      </c>
      <c r="E14" s="486"/>
      <c r="F14" s="90"/>
      <c r="G14" s="91">
        <f t="shared" si="0"/>
        <v>30.76</v>
      </c>
      <c r="H14" s="91"/>
      <c r="I14" s="91"/>
      <c r="J14" s="91"/>
      <c r="K14" s="91"/>
      <c r="L14" s="91"/>
      <c r="M14" s="91"/>
      <c r="N14" s="91"/>
      <c r="O14" s="91"/>
      <c r="P14" s="549"/>
      <c r="Q14" s="549"/>
      <c r="R14" s="91"/>
      <c r="S14" s="91"/>
      <c r="T14" s="91"/>
      <c r="U14" s="91"/>
      <c r="V14" s="91"/>
    </row>
    <row r="15" spans="1:22" ht="12.25" customHeight="1">
      <c r="A15" s="86">
        <v>45138</v>
      </c>
      <c r="B15" s="87" t="s">
        <v>109</v>
      </c>
      <c r="C15" s="88" t="s">
        <v>112</v>
      </c>
      <c r="D15" s="89">
        <v>29.03</v>
      </c>
      <c r="E15" s="486"/>
      <c r="F15" s="90"/>
      <c r="G15" s="91">
        <f t="shared" si="0"/>
        <v>29.03</v>
      </c>
      <c r="H15" s="91"/>
      <c r="I15" s="91"/>
      <c r="J15" s="91"/>
      <c r="K15" s="91"/>
      <c r="L15" s="91"/>
      <c r="M15" s="91"/>
      <c r="N15" s="91"/>
      <c r="O15" s="91"/>
      <c r="P15" s="549"/>
      <c r="Q15" s="549"/>
      <c r="R15" s="91"/>
      <c r="S15" s="91"/>
      <c r="T15" s="91"/>
      <c r="U15" s="91"/>
      <c r="V15" s="91"/>
    </row>
    <row r="16" spans="1:22" ht="12.25" customHeight="1">
      <c r="A16" s="86">
        <v>45107</v>
      </c>
      <c r="B16" s="87" t="s">
        <v>109</v>
      </c>
      <c r="C16" s="88" t="s">
        <v>113</v>
      </c>
      <c r="D16" s="89">
        <v>24.37</v>
      </c>
      <c r="E16" s="486"/>
      <c r="F16" s="90"/>
      <c r="G16" s="91">
        <f t="shared" si="0"/>
        <v>24.37</v>
      </c>
      <c r="H16" s="91"/>
      <c r="I16" s="91"/>
      <c r="J16" s="91"/>
      <c r="K16" s="91"/>
      <c r="L16" s="91"/>
      <c r="M16" s="91"/>
      <c r="N16" s="91"/>
      <c r="O16" s="91"/>
      <c r="P16" s="549"/>
      <c r="Q16" s="549"/>
      <c r="R16" s="91"/>
      <c r="S16" s="91"/>
      <c r="T16" s="91"/>
      <c r="U16" s="91"/>
      <c r="V16" s="91"/>
    </row>
    <row r="17" spans="1:22" ht="12.25" customHeight="1">
      <c r="A17" s="86">
        <v>45077</v>
      </c>
      <c r="B17" s="87" t="s">
        <v>109</v>
      </c>
      <c r="C17" s="88" t="s">
        <v>204</v>
      </c>
      <c r="D17" s="89">
        <v>25.02</v>
      </c>
      <c r="E17" s="486"/>
      <c r="F17" s="90"/>
      <c r="G17" s="91">
        <f t="shared" si="0"/>
        <v>25.02</v>
      </c>
      <c r="H17" s="91"/>
      <c r="I17" s="91"/>
      <c r="J17" s="91"/>
      <c r="K17" s="91"/>
      <c r="L17" s="91"/>
      <c r="M17" s="91"/>
      <c r="N17" s="91"/>
      <c r="O17" s="91"/>
      <c r="P17" s="549"/>
      <c r="Q17" s="549"/>
      <c r="R17" s="91"/>
      <c r="S17" s="91"/>
      <c r="T17" s="91"/>
      <c r="U17" s="91"/>
      <c r="V17" s="91"/>
    </row>
    <row r="18" spans="1:22" ht="12.25" customHeight="1">
      <c r="A18" s="86">
        <v>45044</v>
      </c>
      <c r="B18" s="87" t="s">
        <v>109</v>
      </c>
      <c r="C18" s="88" t="s">
        <v>353</v>
      </c>
      <c r="D18" s="89">
        <v>20.100000000000001</v>
      </c>
      <c r="E18" s="486"/>
      <c r="F18" s="90"/>
      <c r="G18" s="91">
        <f t="shared" si="0"/>
        <v>20.100000000000001</v>
      </c>
      <c r="H18" s="91"/>
      <c r="I18" s="91"/>
      <c r="J18" s="91"/>
      <c r="K18" s="91"/>
      <c r="L18" s="91"/>
      <c r="M18" s="91"/>
      <c r="N18" s="91"/>
      <c r="O18" s="91"/>
      <c r="P18" s="549"/>
      <c r="Q18" s="549"/>
      <c r="R18" s="91"/>
      <c r="S18" s="91"/>
      <c r="T18" s="91"/>
      <c r="U18" s="91"/>
      <c r="V18" s="91"/>
    </row>
    <row r="19" spans="1:22" ht="12.25" customHeight="1">
      <c r="A19" s="86">
        <v>45016</v>
      </c>
      <c r="B19" s="87" t="s">
        <v>109</v>
      </c>
      <c r="C19" s="88" t="s">
        <v>116</v>
      </c>
      <c r="D19" s="89">
        <v>21.85</v>
      </c>
      <c r="E19" s="486"/>
      <c r="F19" s="90"/>
      <c r="G19" s="91">
        <f t="shared" si="0"/>
        <v>21.85</v>
      </c>
      <c r="H19" s="91"/>
      <c r="I19" s="91"/>
      <c r="J19" s="91"/>
      <c r="K19" s="91"/>
      <c r="L19" s="91"/>
      <c r="M19" s="91"/>
      <c r="N19" s="91"/>
      <c r="O19" s="91"/>
      <c r="P19" s="549"/>
      <c r="Q19" s="549"/>
      <c r="R19" s="91"/>
      <c r="S19" s="91"/>
      <c r="T19" s="91"/>
      <c r="U19" s="91"/>
      <c r="V19" s="91"/>
    </row>
    <row r="20" spans="1:22" ht="12.25" customHeight="1">
      <c r="A20" s="86"/>
      <c r="B20" s="87"/>
      <c r="C20" s="88"/>
      <c r="D20" s="89"/>
      <c r="E20" s="486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549"/>
      <c r="Q20" s="549"/>
      <c r="R20" s="91"/>
      <c r="S20" s="91"/>
      <c r="T20" s="91"/>
      <c r="U20" s="91"/>
      <c r="V20" s="91"/>
    </row>
    <row r="21" spans="1:22" ht="12.25" customHeight="1">
      <c r="A21" s="86"/>
      <c r="B21" s="87"/>
      <c r="C21" s="88"/>
      <c r="D21" s="89"/>
      <c r="E21" s="486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549"/>
      <c r="Q21" s="549"/>
      <c r="R21" s="91"/>
      <c r="S21" s="91"/>
      <c r="T21" s="91"/>
      <c r="U21" s="91"/>
      <c r="V21" s="91"/>
    </row>
    <row r="22" spans="1:22" ht="12.25" customHeight="1">
      <c r="A22" s="95" t="s">
        <v>627</v>
      </c>
      <c r="B22" s="87"/>
      <c r="C22" s="88"/>
      <c r="D22" s="89"/>
      <c r="E22" s="48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549"/>
      <c r="Q22" s="549"/>
      <c r="R22" s="91"/>
      <c r="S22" s="91"/>
      <c r="T22" s="91"/>
      <c r="U22" s="91"/>
      <c r="V22" s="91"/>
    </row>
    <row r="23" spans="1:22" ht="12.25" customHeight="1">
      <c r="A23" s="95"/>
      <c r="B23" s="87"/>
      <c r="C23" s="88"/>
      <c r="D23" s="89"/>
      <c r="E23" s="486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549"/>
      <c r="Q23" s="549"/>
      <c r="R23" s="91"/>
      <c r="S23" s="91"/>
      <c r="T23" s="91"/>
      <c r="U23" s="91"/>
      <c r="V23" s="91"/>
    </row>
    <row r="24" spans="1:22" ht="12.25" customHeight="1">
      <c r="A24" s="86">
        <v>45379</v>
      </c>
      <c r="B24" s="87" t="s">
        <v>109</v>
      </c>
      <c r="C24" s="88" t="s">
        <v>628</v>
      </c>
      <c r="D24" s="89">
        <v>64.48</v>
      </c>
      <c r="E24" s="486"/>
      <c r="F24" s="90"/>
      <c r="G24" s="91">
        <f>D24</f>
        <v>64.48</v>
      </c>
      <c r="H24" s="91"/>
      <c r="I24" s="91"/>
      <c r="J24" s="91"/>
      <c r="K24" s="91"/>
      <c r="L24" s="91"/>
      <c r="M24" s="91"/>
      <c r="N24" s="91"/>
      <c r="O24" s="91"/>
      <c r="P24" s="549"/>
      <c r="Q24" s="549"/>
      <c r="R24" s="91"/>
      <c r="S24" s="91"/>
      <c r="T24" s="91"/>
      <c r="U24" s="91"/>
      <c r="V24" s="91"/>
    </row>
    <row r="25" spans="1:22" ht="12.25" customHeight="1">
      <c r="A25" s="86">
        <v>45351</v>
      </c>
      <c r="B25" s="87" t="s">
        <v>109</v>
      </c>
      <c r="C25" s="88" t="s">
        <v>629</v>
      </c>
      <c r="D25" s="89">
        <v>66.569999999999993</v>
      </c>
      <c r="E25" s="486"/>
      <c r="F25" s="90"/>
      <c r="G25" s="91">
        <f t="shared" ref="G25:G27" si="1">D25</f>
        <v>66.569999999999993</v>
      </c>
      <c r="H25" s="91"/>
      <c r="I25" s="91"/>
      <c r="J25" s="91"/>
      <c r="K25" s="91"/>
      <c r="L25" s="91"/>
      <c r="M25" s="91"/>
      <c r="N25" s="91"/>
      <c r="O25" s="91"/>
      <c r="P25" s="549"/>
      <c r="Q25" s="549"/>
      <c r="R25" s="91"/>
      <c r="S25" s="91"/>
      <c r="T25" s="91"/>
      <c r="U25" s="91"/>
      <c r="V25" s="91"/>
    </row>
    <row r="26" spans="1:22" ht="12.25" customHeight="1">
      <c r="A26" s="86">
        <v>45322</v>
      </c>
      <c r="B26" s="87" t="s">
        <v>109</v>
      </c>
      <c r="C26" s="88" t="s">
        <v>630</v>
      </c>
      <c r="D26" s="89">
        <v>75.459999999999994</v>
      </c>
      <c r="E26" s="486"/>
      <c r="F26" s="90"/>
      <c r="G26" s="91">
        <f t="shared" si="1"/>
        <v>75.459999999999994</v>
      </c>
      <c r="H26" s="91"/>
      <c r="I26" s="91"/>
      <c r="J26" s="91"/>
      <c r="K26" s="91"/>
      <c r="L26" s="91"/>
      <c r="M26" s="91"/>
      <c r="N26" s="91"/>
      <c r="O26" s="91"/>
      <c r="P26" s="549"/>
      <c r="Q26" s="549"/>
      <c r="R26" s="91"/>
      <c r="S26" s="91"/>
      <c r="T26" s="91"/>
      <c r="U26" s="91"/>
      <c r="V26" s="91"/>
    </row>
    <row r="27" spans="1:22" ht="12.25" customHeight="1">
      <c r="A27" s="86">
        <v>45289</v>
      </c>
      <c r="B27" s="87" t="s">
        <v>109</v>
      </c>
      <c r="C27" s="88" t="s">
        <v>631</v>
      </c>
      <c r="D27" s="89">
        <v>15.99</v>
      </c>
      <c r="E27" s="486"/>
      <c r="F27" s="90"/>
      <c r="G27" s="91">
        <f t="shared" si="1"/>
        <v>15.99</v>
      </c>
      <c r="H27" s="91"/>
      <c r="I27" s="91"/>
      <c r="J27" s="91"/>
      <c r="K27" s="91"/>
      <c r="L27" s="91"/>
      <c r="M27" s="91"/>
      <c r="N27" s="91"/>
      <c r="O27" s="91"/>
      <c r="P27" s="549"/>
      <c r="Q27" s="549"/>
      <c r="R27" s="91"/>
      <c r="S27" s="91"/>
      <c r="T27" s="91"/>
      <c r="U27" s="91"/>
      <c r="V27" s="91"/>
    </row>
    <row r="28" spans="1:22" ht="12.25" customHeight="1">
      <c r="A28" s="86">
        <v>45282</v>
      </c>
      <c r="B28" s="87"/>
      <c r="C28" s="88" t="s">
        <v>632</v>
      </c>
      <c r="D28" s="89">
        <v>20000</v>
      </c>
      <c r="E28" s="486"/>
      <c r="F28" s="90"/>
      <c r="G28" s="91"/>
      <c r="H28" s="91">
        <v>20000</v>
      </c>
      <c r="I28" s="91"/>
      <c r="J28" s="91"/>
      <c r="K28" s="91"/>
      <c r="L28" s="91"/>
      <c r="M28" s="91"/>
      <c r="N28" s="91"/>
      <c r="O28" s="91"/>
      <c r="P28" s="549"/>
      <c r="Q28" s="549"/>
      <c r="R28" s="91"/>
      <c r="S28" s="91"/>
      <c r="T28" s="91"/>
      <c r="U28" s="91"/>
      <c r="V28" s="91"/>
    </row>
    <row r="29" spans="1:22" ht="12.25" customHeight="1">
      <c r="A29" s="86"/>
      <c r="B29" s="87"/>
      <c r="C29" s="88"/>
      <c r="D29" s="89"/>
      <c r="E29" s="486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549"/>
      <c r="Q29" s="549"/>
      <c r="R29" s="91"/>
      <c r="S29" s="91"/>
      <c r="T29" s="91"/>
      <c r="U29" s="91"/>
      <c r="V29" s="91"/>
    </row>
    <row r="30" spans="1:22" ht="12.25" customHeight="1">
      <c r="A30" s="86"/>
      <c r="B30" s="87"/>
      <c r="C30" s="88"/>
      <c r="D30" s="89"/>
      <c r="E30" s="486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549"/>
      <c r="Q30" s="549"/>
      <c r="R30" s="91"/>
      <c r="S30" s="91"/>
      <c r="T30" s="91"/>
      <c r="U30" s="91"/>
      <c r="V30" s="91"/>
    </row>
    <row r="31" spans="1:22" ht="12.25" customHeight="1">
      <c r="A31" s="95" t="s">
        <v>78</v>
      </c>
      <c r="B31" s="87"/>
      <c r="C31" s="88"/>
      <c r="D31" s="92"/>
      <c r="E31" s="487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550"/>
      <c r="Q31" s="550"/>
      <c r="R31" s="94"/>
      <c r="S31" s="94"/>
      <c r="T31" s="94"/>
      <c r="U31" s="94"/>
      <c r="V31" s="94"/>
    </row>
    <row r="32" spans="1:22" ht="13.25" customHeight="1">
      <c r="A32" s="533"/>
      <c r="B32" s="534"/>
      <c r="C32" s="88"/>
      <c r="D32" s="92"/>
      <c r="E32" s="487"/>
      <c r="F32" s="93"/>
      <c r="G32" s="94"/>
      <c r="H32" s="94"/>
      <c r="I32" s="94"/>
      <c r="J32" s="94"/>
      <c r="K32" s="94"/>
      <c r="L32" s="94"/>
      <c r="M32" s="94"/>
      <c r="N32" s="94"/>
      <c r="O32" s="94"/>
      <c r="P32" s="550"/>
      <c r="Q32" s="550"/>
      <c r="R32" s="94"/>
      <c r="S32" s="94"/>
      <c r="T32" s="94"/>
      <c r="U32" s="94"/>
      <c r="V32" s="94"/>
    </row>
    <row r="33" spans="1:22" ht="13.25" customHeight="1">
      <c r="A33" s="533"/>
      <c r="B33" s="534"/>
      <c r="C33" s="88" t="s">
        <v>511</v>
      </c>
      <c r="D33" s="92"/>
      <c r="E33" s="487"/>
      <c r="F33" s="93"/>
      <c r="G33" s="94"/>
      <c r="H33" s="94"/>
      <c r="I33" s="94"/>
      <c r="J33" s="94"/>
      <c r="K33" s="94"/>
      <c r="L33" s="94"/>
      <c r="M33" s="94"/>
      <c r="N33" s="94"/>
      <c r="O33" s="94"/>
      <c r="P33" s="550"/>
      <c r="Q33" s="550"/>
      <c r="R33" s="94"/>
      <c r="S33" s="94"/>
      <c r="T33" s="94"/>
      <c r="U33" s="94"/>
      <c r="V33" s="94"/>
    </row>
    <row r="34" spans="1:22" ht="12.25" customHeight="1">
      <c r="A34" s="86">
        <v>45373</v>
      </c>
      <c r="B34" s="87" t="s">
        <v>122</v>
      </c>
      <c r="C34" s="88" t="s">
        <v>404</v>
      </c>
      <c r="D34" s="89">
        <v>47.16</v>
      </c>
      <c r="E34" s="486"/>
      <c r="F34" s="90"/>
      <c r="G34" s="91"/>
      <c r="H34" s="91"/>
      <c r="I34" s="91">
        <f>D34</f>
        <v>47.16</v>
      </c>
      <c r="J34" s="91"/>
      <c r="K34" s="91"/>
      <c r="L34" s="91"/>
      <c r="M34" s="91"/>
      <c r="N34" s="91"/>
      <c r="O34" s="91"/>
      <c r="P34" s="549"/>
      <c r="Q34" s="549"/>
      <c r="R34" s="91"/>
      <c r="S34" s="91"/>
      <c r="T34" s="91"/>
      <c r="U34" s="91"/>
      <c r="V34" s="91"/>
    </row>
    <row r="35" spans="1:22" ht="12.25" customHeight="1">
      <c r="A35" s="86">
        <v>45371</v>
      </c>
      <c r="B35" s="87" t="s">
        <v>122</v>
      </c>
      <c r="C35" s="88" t="s">
        <v>404</v>
      </c>
      <c r="D35" s="89">
        <v>9.82</v>
      </c>
      <c r="E35" s="486"/>
      <c r="F35" s="90"/>
      <c r="G35" s="91"/>
      <c r="H35" s="91"/>
      <c r="I35" s="91">
        <f>D35</f>
        <v>9.82</v>
      </c>
      <c r="J35" s="91"/>
      <c r="K35" s="91"/>
      <c r="L35" s="91"/>
      <c r="M35" s="91"/>
      <c r="N35" s="91"/>
      <c r="O35" s="91"/>
      <c r="P35" s="549"/>
      <c r="Q35" s="549"/>
      <c r="R35" s="91"/>
      <c r="S35" s="91"/>
      <c r="T35" s="91"/>
      <c r="U35" s="91"/>
      <c r="V35" s="91"/>
    </row>
    <row r="36" spans="1:22" ht="12.25" customHeight="1">
      <c r="A36" s="86">
        <v>45370</v>
      </c>
      <c r="B36" s="87" t="s">
        <v>122</v>
      </c>
      <c r="C36" s="88" t="s">
        <v>521</v>
      </c>
      <c r="D36" s="89">
        <v>22.45</v>
      </c>
      <c r="E36" s="486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549"/>
      <c r="Q36" s="549"/>
      <c r="R36" s="91"/>
      <c r="S36" s="91">
        <f>D36</f>
        <v>22.45</v>
      </c>
      <c r="T36" s="91"/>
      <c r="U36" s="91"/>
      <c r="V36" s="91"/>
    </row>
    <row r="37" spans="1:22" ht="12.25" customHeight="1">
      <c r="A37" s="86">
        <v>45369</v>
      </c>
      <c r="B37" s="87" t="s">
        <v>122</v>
      </c>
      <c r="C37" s="88" t="s">
        <v>522</v>
      </c>
      <c r="D37" s="89">
        <v>2</v>
      </c>
      <c r="E37" s="486"/>
      <c r="F37" s="90"/>
      <c r="G37" s="91"/>
      <c r="H37" s="91"/>
      <c r="I37" s="91"/>
      <c r="J37" s="91"/>
      <c r="K37" s="91"/>
      <c r="L37" s="91">
        <f>D37</f>
        <v>2</v>
      </c>
      <c r="M37" s="91"/>
      <c r="N37" s="91"/>
      <c r="O37" s="91"/>
      <c r="P37" s="549"/>
      <c r="Q37" s="549"/>
      <c r="R37" s="91"/>
      <c r="S37" s="91"/>
      <c r="T37" s="91"/>
      <c r="U37" s="91"/>
      <c r="V37" s="91"/>
    </row>
    <row r="38" spans="1:22" ht="12.25" customHeight="1">
      <c r="A38" s="86">
        <v>45369</v>
      </c>
      <c r="B38" s="87" t="s">
        <v>122</v>
      </c>
      <c r="C38" s="88" t="s">
        <v>523</v>
      </c>
      <c r="D38" s="89">
        <v>148</v>
      </c>
      <c r="E38" s="486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549">
        <f>D38</f>
        <v>148</v>
      </c>
      <c r="Q38" s="549"/>
      <c r="R38" s="91"/>
      <c r="S38" s="91"/>
      <c r="T38" s="91"/>
      <c r="U38" s="91"/>
      <c r="V38" s="91"/>
    </row>
    <row r="39" spans="1:22" ht="12.25" customHeight="1">
      <c r="A39" s="86">
        <v>45369</v>
      </c>
      <c r="B39" s="87" t="s">
        <v>122</v>
      </c>
      <c r="C39" s="88" t="s">
        <v>524</v>
      </c>
      <c r="D39" s="89">
        <v>271.05</v>
      </c>
      <c r="E39" s="486"/>
      <c r="F39" s="90"/>
      <c r="G39" s="91"/>
      <c r="H39" s="91"/>
      <c r="I39" s="91"/>
      <c r="J39" s="91"/>
      <c r="K39" s="91"/>
      <c r="L39" s="91"/>
      <c r="M39" s="91"/>
      <c r="N39" s="91"/>
      <c r="O39" s="91"/>
      <c r="P39" s="549"/>
      <c r="Q39" s="549"/>
      <c r="R39" s="91"/>
      <c r="S39" s="91">
        <f t="shared" ref="S39:S47" si="2">D39</f>
        <v>271.05</v>
      </c>
      <c r="T39" s="91"/>
      <c r="U39" s="91"/>
      <c r="V39" s="91"/>
    </row>
    <row r="40" spans="1:22" ht="12.25" customHeight="1">
      <c r="A40" s="86">
        <v>45364</v>
      </c>
      <c r="B40" s="87" t="s">
        <v>122</v>
      </c>
      <c r="C40" s="88" t="s">
        <v>525</v>
      </c>
      <c r="D40" s="89">
        <v>90.42</v>
      </c>
      <c r="E40" s="486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549"/>
      <c r="Q40" s="549"/>
      <c r="R40" s="91"/>
      <c r="S40" s="91">
        <f t="shared" si="2"/>
        <v>90.42</v>
      </c>
      <c r="T40" s="91"/>
      <c r="U40" s="91"/>
      <c r="V40" s="91"/>
    </row>
    <row r="41" spans="1:22" ht="12.25" customHeight="1">
      <c r="A41" s="86">
        <v>45363</v>
      </c>
      <c r="B41" s="87" t="s">
        <v>122</v>
      </c>
      <c r="C41" s="88" t="s">
        <v>526</v>
      </c>
      <c r="D41" s="89">
        <v>22.05</v>
      </c>
      <c r="E41" s="486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549"/>
      <c r="Q41" s="549"/>
      <c r="R41" s="91"/>
      <c r="S41" s="91">
        <f t="shared" si="2"/>
        <v>22.05</v>
      </c>
      <c r="T41" s="91"/>
      <c r="U41" s="91"/>
      <c r="V41" s="91"/>
    </row>
    <row r="42" spans="1:22" ht="12.25" customHeight="1">
      <c r="A42" s="86">
        <v>45362</v>
      </c>
      <c r="B42" s="87" t="s">
        <v>122</v>
      </c>
      <c r="C42" s="88" t="s">
        <v>527</v>
      </c>
      <c r="D42" s="89">
        <v>22.45</v>
      </c>
      <c r="E42" s="486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549"/>
      <c r="Q42" s="549"/>
      <c r="R42" s="91"/>
      <c r="S42" s="91">
        <f t="shared" si="2"/>
        <v>22.45</v>
      </c>
      <c r="T42" s="91"/>
      <c r="U42" s="91"/>
      <c r="V42" s="91"/>
    </row>
    <row r="43" spans="1:22" ht="12.25" customHeight="1">
      <c r="A43" s="86">
        <v>45362</v>
      </c>
      <c r="B43" s="87" t="s">
        <v>122</v>
      </c>
      <c r="C43" s="88" t="s">
        <v>528</v>
      </c>
      <c r="D43" s="89">
        <v>45.11</v>
      </c>
      <c r="E43" s="486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549"/>
      <c r="Q43" s="549"/>
      <c r="R43" s="91"/>
      <c r="S43" s="91">
        <f t="shared" si="2"/>
        <v>45.11</v>
      </c>
      <c r="T43" s="91"/>
      <c r="U43" s="91"/>
      <c r="V43" s="91"/>
    </row>
    <row r="44" spans="1:22" ht="12.25" customHeight="1">
      <c r="A44" s="86">
        <v>45358</v>
      </c>
      <c r="B44" s="87" t="s">
        <v>122</v>
      </c>
      <c r="C44" s="88" t="s">
        <v>531</v>
      </c>
      <c r="D44" s="89">
        <v>90.42</v>
      </c>
      <c r="E44" s="486"/>
      <c r="F44" s="90"/>
      <c r="G44" s="91"/>
      <c r="H44" s="91"/>
      <c r="I44" s="91"/>
      <c r="J44" s="91"/>
      <c r="K44" s="91"/>
      <c r="L44" s="91"/>
      <c r="M44" s="91"/>
      <c r="N44" s="91"/>
      <c r="O44" s="91"/>
      <c r="P44" s="549"/>
      <c r="Q44" s="549"/>
      <c r="R44" s="91"/>
      <c r="S44" s="91">
        <f t="shared" si="2"/>
        <v>90.42</v>
      </c>
      <c r="T44" s="91"/>
      <c r="U44" s="91"/>
      <c r="V44" s="91"/>
    </row>
    <row r="45" spans="1:22" ht="12.25" customHeight="1">
      <c r="A45" s="86">
        <v>45357</v>
      </c>
      <c r="B45" s="87" t="s">
        <v>122</v>
      </c>
      <c r="C45" s="88" t="s">
        <v>532</v>
      </c>
      <c r="D45" s="89">
        <v>45.11</v>
      </c>
      <c r="E45" s="486"/>
      <c r="F45" s="90"/>
      <c r="G45" s="91"/>
      <c r="H45" s="91"/>
      <c r="I45" s="91"/>
      <c r="J45" s="91"/>
      <c r="K45" s="91"/>
      <c r="L45" s="91"/>
      <c r="M45" s="91"/>
      <c r="N45" s="91"/>
      <c r="O45" s="91"/>
      <c r="P45" s="549"/>
      <c r="Q45" s="549"/>
      <c r="R45" s="91"/>
      <c r="S45" s="91">
        <f t="shared" si="2"/>
        <v>45.11</v>
      </c>
      <c r="T45" s="91"/>
      <c r="U45" s="91"/>
      <c r="V45" s="91"/>
    </row>
    <row r="46" spans="1:22" ht="12.25" customHeight="1">
      <c r="A46" s="86">
        <v>45355</v>
      </c>
      <c r="B46" s="87" t="s">
        <v>122</v>
      </c>
      <c r="C46" s="88" t="s">
        <v>535</v>
      </c>
      <c r="D46" s="89">
        <v>90.01</v>
      </c>
      <c r="E46" s="486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549"/>
      <c r="Q46" s="549"/>
      <c r="R46" s="91"/>
      <c r="S46" s="91">
        <f t="shared" si="2"/>
        <v>90.01</v>
      </c>
      <c r="T46" s="91"/>
      <c r="U46" s="91"/>
      <c r="V46" s="91"/>
    </row>
    <row r="47" spans="1:22" ht="12.25" customHeight="1">
      <c r="A47" s="86">
        <v>45351</v>
      </c>
      <c r="B47" s="87" t="s">
        <v>122</v>
      </c>
      <c r="C47" s="88" t="s">
        <v>536</v>
      </c>
      <c r="D47" s="89">
        <v>45.11</v>
      </c>
      <c r="E47" s="486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549"/>
      <c r="Q47" s="549"/>
      <c r="R47" s="91"/>
      <c r="S47" s="91">
        <f t="shared" si="2"/>
        <v>45.11</v>
      </c>
      <c r="T47" s="91"/>
      <c r="U47" s="91"/>
      <c r="V47" s="91"/>
    </row>
    <row r="48" spans="1:22" ht="12.25" customHeight="1">
      <c r="A48" s="86">
        <v>45345</v>
      </c>
      <c r="B48" s="87" t="s">
        <v>132</v>
      </c>
      <c r="C48" s="88">
        <v>100361</v>
      </c>
      <c r="D48" s="89">
        <v>23</v>
      </c>
      <c r="E48" s="486"/>
      <c r="F48" s="90"/>
      <c r="G48" s="91"/>
      <c r="H48" s="91"/>
      <c r="I48" s="91">
        <f>D48</f>
        <v>23</v>
      </c>
      <c r="J48" s="91"/>
      <c r="K48" s="91"/>
      <c r="L48" s="91"/>
      <c r="M48" s="91"/>
      <c r="N48" s="91"/>
      <c r="O48" s="91"/>
      <c r="P48" s="549"/>
      <c r="Q48" s="549"/>
      <c r="R48" s="91"/>
      <c r="S48" s="91"/>
      <c r="T48" s="91"/>
      <c r="U48" s="91"/>
      <c r="V48" s="91"/>
    </row>
    <row r="49" spans="1:22" ht="12.25" customHeight="1">
      <c r="A49" s="86">
        <v>45345</v>
      </c>
      <c r="B49" s="87" t="s">
        <v>122</v>
      </c>
      <c r="C49" s="88" t="s">
        <v>537</v>
      </c>
      <c r="D49" s="89">
        <v>45.11</v>
      </c>
      <c r="E49" s="486"/>
      <c r="F49" s="90"/>
      <c r="G49" s="91"/>
      <c r="H49" s="91"/>
      <c r="I49" s="91"/>
      <c r="J49" s="91"/>
      <c r="K49" s="91"/>
      <c r="L49" s="91"/>
      <c r="M49" s="91"/>
      <c r="N49" s="91"/>
      <c r="O49" s="91"/>
      <c r="P49" s="549"/>
      <c r="Q49" s="549"/>
      <c r="R49" s="91"/>
      <c r="S49" s="91">
        <f t="shared" ref="S49:S52" si="3">D49</f>
        <v>45.11</v>
      </c>
      <c r="T49" s="91"/>
      <c r="U49" s="91"/>
      <c r="V49" s="91"/>
    </row>
    <row r="50" spans="1:22" ht="12.25" customHeight="1">
      <c r="A50" s="86">
        <v>45344</v>
      </c>
      <c r="B50" s="87" t="s">
        <v>122</v>
      </c>
      <c r="C50" s="88" t="s">
        <v>538</v>
      </c>
      <c r="D50" s="89">
        <v>22.45</v>
      </c>
      <c r="E50" s="486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549"/>
      <c r="Q50" s="549"/>
      <c r="R50" s="91"/>
      <c r="S50" s="91">
        <f t="shared" si="3"/>
        <v>22.45</v>
      </c>
      <c r="T50" s="91"/>
      <c r="U50" s="91"/>
      <c r="V50" s="91"/>
    </row>
    <row r="51" spans="1:22" ht="12.25" customHeight="1">
      <c r="A51" s="86">
        <v>45343</v>
      </c>
      <c r="B51" s="87" t="s">
        <v>122</v>
      </c>
      <c r="C51" s="88" t="s">
        <v>539</v>
      </c>
      <c r="D51" s="89">
        <v>45.11</v>
      </c>
      <c r="E51" s="486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549"/>
      <c r="Q51" s="549"/>
      <c r="R51" s="91"/>
      <c r="S51" s="91">
        <f t="shared" si="3"/>
        <v>45.11</v>
      </c>
      <c r="T51" s="91"/>
      <c r="U51" s="91"/>
      <c r="V51" s="91"/>
    </row>
    <row r="52" spans="1:22" ht="12.25" customHeight="1">
      <c r="A52" s="86">
        <v>45338</v>
      </c>
      <c r="B52" s="87" t="s">
        <v>122</v>
      </c>
      <c r="C52" s="88" t="s">
        <v>541</v>
      </c>
      <c r="D52" s="89">
        <v>45.11</v>
      </c>
      <c r="E52" s="486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549"/>
      <c r="Q52" s="549"/>
      <c r="R52" s="91"/>
      <c r="S52" s="91">
        <f t="shared" si="3"/>
        <v>45.11</v>
      </c>
      <c r="T52" s="91"/>
      <c r="U52" s="91"/>
      <c r="V52" s="91"/>
    </row>
    <row r="53" spans="1:22" ht="12.25" customHeight="1">
      <c r="A53" s="86">
        <v>45334</v>
      </c>
      <c r="B53" s="87" t="s">
        <v>122</v>
      </c>
      <c r="C53" s="88" t="s">
        <v>543</v>
      </c>
      <c r="D53" s="89">
        <v>67</v>
      </c>
      <c r="E53" s="486"/>
      <c r="F53" s="90"/>
      <c r="G53" s="91"/>
      <c r="H53" s="91"/>
      <c r="I53" s="91"/>
      <c r="J53" s="91"/>
      <c r="K53" s="91"/>
      <c r="L53" s="91">
        <f>D53</f>
        <v>67</v>
      </c>
      <c r="M53" s="91"/>
      <c r="N53" s="91"/>
      <c r="O53" s="91"/>
      <c r="P53" s="549"/>
      <c r="Q53" s="549"/>
      <c r="R53" s="91"/>
      <c r="S53" s="91"/>
      <c r="T53" s="91"/>
      <c r="U53" s="91"/>
      <c r="V53" s="91"/>
    </row>
    <row r="54" spans="1:22" ht="12.25" customHeight="1">
      <c r="A54" s="86">
        <v>45331</v>
      </c>
      <c r="B54" s="87" t="s">
        <v>122</v>
      </c>
      <c r="C54" s="88" t="s">
        <v>544</v>
      </c>
      <c r="D54" s="89">
        <v>160</v>
      </c>
      <c r="E54" s="486"/>
      <c r="F54" s="90"/>
      <c r="G54" s="91"/>
      <c r="H54" s="91"/>
      <c r="I54" s="91"/>
      <c r="J54" s="91"/>
      <c r="K54" s="91"/>
      <c r="L54" s="91"/>
      <c r="M54" s="91"/>
      <c r="N54" s="91"/>
      <c r="O54" s="91"/>
      <c r="P54" s="549">
        <f>D54</f>
        <v>160</v>
      </c>
      <c r="Q54" s="549"/>
      <c r="R54" s="91"/>
      <c r="S54" s="91"/>
      <c r="T54" s="91"/>
      <c r="U54" s="91"/>
      <c r="V54" s="91"/>
    </row>
    <row r="55" spans="1:22" ht="12.25" customHeight="1">
      <c r="A55" s="86">
        <v>45330</v>
      </c>
      <c r="B55" s="87" t="s">
        <v>122</v>
      </c>
      <c r="C55" s="88" t="s">
        <v>545</v>
      </c>
      <c r="D55" s="89">
        <v>45.11</v>
      </c>
      <c r="E55" s="486"/>
      <c r="F55" s="90"/>
      <c r="G55" s="91"/>
      <c r="H55" s="91"/>
      <c r="I55" s="91"/>
      <c r="J55" s="91"/>
      <c r="K55" s="91"/>
      <c r="L55" s="91"/>
      <c r="M55" s="91"/>
      <c r="N55" s="91"/>
      <c r="O55" s="91"/>
      <c r="P55" s="549"/>
      <c r="Q55" s="549"/>
      <c r="R55" s="91"/>
      <c r="S55" s="91">
        <f t="shared" ref="S55:S59" si="4">D55</f>
        <v>45.11</v>
      </c>
      <c r="T55" s="91"/>
      <c r="U55" s="91"/>
      <c r="V55" s="91"/>
    </row>
    <row r="56" spans="1:22" ht="12.25" customHeight="1">
      <c r="A56" s="86">
        <v>45320</v>
      </c>
      <c r="B56" s="87" t="s">
        <v>122</v>
      </c>
      <c r="C56" s="88" t="s">
        <v>547</v>
      </c>
      <c r="D56" s="89">
        <v>22.45</v>
      </c>
      <c r="E56" s="486"/>
      <c r="F56" s="90"/>
      <c r="G56" s="91"/>
      <c r="H56" s="91"/>
      <c r="I56" s="91"/>
      <c r="J56" s="91"/>
      <c r="K56" s="91"/>
      <c r="L56" s="91"/>
      <c r="M56" s="91"/>
      <c r="N56" s="91"/>
      <c r="O56" s="91"/>
      <c r="P56" s="549"/>
      <c r="Q56" s="549"/>
      <c r="R56" s="91"/>
      <c r="S56" s="91">
        <f t="shared" si="4"/>
        <v>22.45</v>
      </c>
      <c r="T56" s="91"/>
      <c r="U56" s="91"/>
      <c r="V56" s="91"/>
    </row>
    <row r="57" spans="1:22" ht="12.25" customHeight="1">
      <c r="A57" s="86">
        <v>45320</v>
      </c>
      <c r="B57" s="87" t="s">
        <v>122</v>
      </c>
      <c r="C57" s="88" t="s">
        <v>548</v>
      </c>
      <c r="D57" s="89">
        <v>45.11</v>
      </c>
      <c r="E57" s="486"/>
      <c r="F57" s="90"/>
      <c r="G57" s="91"/>
      <c r="H57" s="91"/>
      <c r="I57" s="91"/>
      <c r="J57" s="91"/>
      <c r="K57" s="91"/>
      <c r="L57" s="91"/>
      <c r="M57" s="91"/>
      <c r="N57" s="91"/>
      <c r="O57" s="91"/>
      <c r="P57" s="549"/>
      <c r="Q57" s="549"/>
      <c r="R57" s="91"/>
      <c r="S57" s="91">
        <f t="shared" si="4"/>
        <v>45.11</v>
      </c>
      <c r="T57" s="91"/>
      <c r="U57" s="91"/>
      <c r="V57" s="91"/>
    </row>
    <row r="58" spans="1:22" ht="12.25" customHeight="1">
      <c r="A58" s="86">
        <v>45310</v>
      </c>
      <c r="B58" s="87" t="s">
        <v>122</v>
      </c>
      <c r="C58" s="88" t="s">
        <v>550</v>
      </c>
      <c r="D58" s="89">
        <v>270.66000000000003</v>
      </c>
      <c r="E58" s="486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549"/>
      <c r="Q58" s="549"/>
      <c r="R58" s="91"/>
      <c r="S58" s="91">
        <f t="shared" si="4"/>
        <v>270.66000000000003</v>
      </c>
      <c r="T58" s="91"/>
      <c r="U58" s="91"/>
      <c r="V58" s="91"/>
    </row>
    <row r="59" spans="1:22" ht="12.25" customHeight="1">
      <c r="A59" s="86">
        <v>45309</v>
      </c>
      <c r="B59" s="87" t="s">
        <v>122</v>
      </c>
      <c r="C59" s="88" t="s">
        <v>551</v>
      </c>
      <c r="D59" s="89">
        <v>112.67</v>
      </c>
      <c r="E59" s="486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549"/>
      <c r="Q59" s="549"/>
      <c r="R59" s="91"/>
      <c r="S59" s="91">
        <f t="shared" si="4"/>
        <v>112.67</v>
      </c>
      <c r="T59" s="91"/>
      <c r="U59" s="91"/>
      <c r="V59" s="91"/>
    </row>
    <row r="60" spans="1:22" ht="12.25" customHeight="1">
      <c r="A60" s="86">
        <v>45299</v>
      </c>
      <c r="B60" s="87" t="s">
        <v>122</v>
      </c>
      <c r="C60" s="88" t="s">
        <v>552</v>
      </c>
      <c r="D60" s="89">
        <v>30</v>
      </c>
      <c r="E60" s="486"/>
      <c r="F60" s="90"/>
      <c r="G60" s="91"/>
      <c r="H60" s="91"/>
      <c r="I60" s="91">
        <f>D60</f>
        <v>30</v>
      </c>
      <c r="J60" s="91"/>
      <c r="K60" s="91"/>
      <c r="L60" s="91"/>
      <c r="M60" s="91"/>
      <c r="N60" s="91"/>
      <c r="O60" s="91"/>
      <c r="P60" s="549"/>
      <c r="Q60" s="549"/>
      <c r="R60" s="91"/>
      <c r="S60" s="91"/>
      <c r="T60" s="91"/>
      <c r="U60" s="91"/>
      <c r="V60" s="91"/>
    </row>
    <row r="61" spans="1:22" ht="12.25" customHeight="1">
      <c r="A61" s="86">
        <v>45299</v>
      </c>
      <c r="B61" s="87" t="s">
        <v>122</v>
      </c>
      <c r="C61" s="88" t="s">
        <v>553</v>
      </c>
      <c r="D61" s="89">
        <v>40</v>
      </c>
      <c r="E61" s="486"/>
      <c r="F61" s="90"/>
      <c r="G61" s="91"/>
      <c r="H61" s="91"/>
      <c r="I61" s="91"/>
      <c r="J61" s="91">
        <f>D61</f>
        <v>40</v>
      </c>
      <c r="K61" s="91"/>
      <c r="L61" s="91"/>
      <c r="M61" s="91"/>
      <c r="N61" s="91"/>
      <c r="O61" s="91"/>
      <c r="P61" s="549"/>
      <c r="Q61" s="549"/>
      <c r="R61" s="91"/>
      <c r="S61" s="91"/>
      <c r="T61" s="91"/>
      <c r="U61" s="91"/>
      <c r="V61" s="91"/>
    </row>
    <row r="62" spans="1:22" ht="12.25" customHeight="1">
      <c r="A62" s="86">
        <v>45274</v>
      </c>
      <c r="B62" s="87" t="s">
        <v>122</v>
      </c>
      <c r="C62" s="88" t="s">
        <v>404</v>
      </c>
      <c r="D62" s="89">
        <v>10.81</v>
      </c>
      <c r="E62" s="486"/>
      <c r="F62" s="90"/>
      <c r="G62" s="91"/>
      <c r="H62" s="91"/>
      <c r="I62" s="91">
        <f>D62</f>
        <v>10.81</v>
      </c>
      <c r="J62" s="91"/>
      <c r="K62" s="91"/>
      <c r="L62" s="91"/>
      <c r="M62" s="91"/>
      <c r="N62" s="91"/>
      <c r="O62" s="91"/>
      <c r="P62" s="549"/>
      <c r="Q62" s="549"/>
      <c r="R62" s="91"/>
      <c r="S62" s="91"/>
      <c r="T62" s="91"/>
      <c r="U62" s="91"/>
      <c r="V62" s="91"/>
    </row>
    <row r="63" spans="1:22" ht="12.25" customHeight="1">
      <c r="A63" s="86">
        <v>45272</v>
      </c>
      <c r="B63" s="87" t="s">
        <v>122</v>
      </c>
      <c r="C63" s="88" t="s">
        <v>556</v>
      </c>
      <c r="D63" s="89">
        <v>6</v>
      </c>
      <c r="E63" s="486"/>
      <c r="F63" s="90"/>
      <c r="G63" s="91"/>
      <c r="H63" s="91"/>
      <c r="I63" s="91">
        <f>D63</f>
        <v>6</v>
      </c>
      <c r="J63" s="91"/>
      <c r="K63" s="91"/>
      <c r="L63" s="91"/>
      <c r="M63" s="91"/>
      <c r="N63" s="91"/>
      <c r="O63" s="91"/>
      <c r="P63" s="549"/>
      <c r="Q63" s="549"/>
      <c r="R63" s="91"/>
      <c r="S63" s="91"/>
      <c r="T63" s="91"/>
      <c r="U63" s="91"/>
      <c r="V63" s="91"/>
    </row>
    <row r="64" spans="1:22" ht="12.25" customHeight="1">
      <c r="A64" s="86">
        <v>45272</v>
      </c>
      <c r="B64" s="87" t="s">
        <v>122</v>
      </c>
      <c r="C64" s="88" t="s">
        <v>557</v>
      </c>
      <c r="D64" s="89">
        <v>92</v>
      </c>
      <c r="E64" s="486"/>
      <c r="F64" s="90"/>
      <c r="G64" s="91"/>
      <c r="H64" s="91"/>
      <c r="I64" s="91"/>
      <c r="J64" s="91"/>
      <c r="K64" s="91">
        <f>D64</f>
        <v>92</v>
      </c>
      <c r="L64" s="91"/>
      <c r="M64" s="91"/>
      <c r="N64" s="91"/>
      <c r="O64" s="91"/>
      <c r="P64" s="549"/>
      <c r="Q64" s="549"/>
      <c r="R64" s="91"/>
      <c r="S64" s="91"/>
      <c r="T64" s="91"/>
      <c r="U64" s="91"/>
      <c r="V64" s="91"/>
    </row>
    <row r="65" spans="1:22" ht="12.25" customHeight="1">
      <c r="A65" s="86">
        <v>45271</v>
      </c>
      <c r="B65" s="87" t="s">
        <v>122</v>
      </c>
      <c r="C65" s="88" t="s">
        <v>559</v>
      </c>
      <c r="D65" s="89">
        <v>50</v>
      </c>
      <c r="E65" s="486"/>
      <c r="F65" s="90"/>
      <c r="G65" s="91"/>
      <c r="H65" s="91"/>
      <c r="I65" s="91"/>
      <c r="J65" s="91">
        <f>D65</f>
        <v>50</v>
      </c>
      <c r="K65" s="91"/>
      <c r="L65" s="91"/>
      <c r="M65" s="91"/>
      <c r="N65" s="91"/>
      <c r="O65" s="91"/>
      <c r="P65" s="549"/>
      <c r="Q65" s="549"/>
      <c r="R65" s="91"/>
      <c r="S65" s="91"/>
      <c r="T65" s="91"/>
      <c r="U65" s="91"/>
      <c r="V65" s="91"/>
    </row>
    <row r="66" spans="1:22" ht="12.25" customHeight="1">
      <c r="A66" s="86">
        <v>45264</v>
      </c>
      <c r="B66" s="87" t="s">
        <v>122</v>
      </c>
      <c r="C66" s="88" t="s">
        <v>561</v>
      </c>
      <c r="D66" s="89">
        <v>225</v>
      </c>
      <c r="E66" s="486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549">
        <f>D66</f>
        <v>225</v>
      </c>
      <c r="Q66" s="549"/>
      <c r="R66" s="91"/>
      <c r="S66" s="91"/>
      <c r="T66" s="91"/>
      <c r="U66" s="91"/>
      <c r="V66" s="91"/>
    </row>
    <row r="67" spans="1:22" ht="12.25" customHeight="1">
      <c r="A67" s="86">
        <v>45251</v>
      </c>
      <c r="B67" s="87" t="s">
        <v>122</v>
      </c>
      <c r="C67" s="88" t="s">
        <v>565</v>
      </c>
      <c r="D67" s="89">
        <v>250</v>
      </c>
      <c r="E67" s="486"/>
      <c r="F67" s="90"/>
      <c r="G67" s="91"/>
      <c r="H67" s="91"/>
      <c r="I67" s="91"/>
      <c r="J67" s="91"/>
      <c r="K67" s="91"/>
      <c r="L67" s="91"/>
      <c r="M67" s="91">
        <f>D67</f>
        <v>250</v>
      </c>
      <c r="N67" s="91"/>
      <c r="O67" s="91"/>
      <c r="P67" s="549"/>
      <c r="Q67" s="549"/>
      <c r="R67" s="91"/>
      <c r="S67" s="91"/>
      <c r="T67" s="91"/>
      <c r="U67" s="91"/>
      <c r="V67" s="91"/>
    </row>
    <row r="68" spans="1:22" ht="12.25" customHeight="1">
      <c r="A68" s="86">
        <v>45240</v>
      </c>
      <c r="B68" s="87" t="s">
        <v>122</v>
      </c>
      <c r="C68" s="88" t="s">
        <v>566</v>
      </c>
      <c r="D68" s="89">
        <v>500</v>
      </c>
      <c r="E68" s="486"/>
      <c r="F68" s="90"/>
      <c r="G68" s="91"/>
      <c r="H68" s="91"/>
      <c r="I68" s="91"/>
      <c r="J68" s="91"/>
      <c r="K68" s="91"/>
      <c r="L68" s="91"/>
      <c r="M68" s="91">
        <f>D68</f>
        <v>500</v>
      </c>
      <c r="N68" s="91"/>
      <c r="O68" s="91"/>
      <c r="P68" s="549"/>
      <c r="Q68" s="549"/>
      <c r="R68" s="91"/>
      <c r="S68" s="91"/>
      <c r="T68" s="91"/>
      <c r="U68" s="91"/>
      <c r="V68" s="91"/>
    </row>
    <row r="69" spans="1:22" ht="12.25" customHeight="1">
      <c r="A69" s="86">
        <v>45187</v>
      </c>
      <c r="B69" s="87" t="s">
        <v>122</v>
      </c>
      <c r="C69" s="88" t="s">
        <v>575</v>
      </c>
      <c r="D69" s="89">
        <v>103</v>
      </c>
      <c r="E69" s="486"/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549">
        <f>D69</f>
        <v>103</v>
      </c>
      <c r="Q69" s="549"/>
      <c r="R69" s="91"/>
      <c r="S69" s="91"/>
      <c r="T69" s="91"/>
      <c r="U69" s="91"/>
      <c r="V69" s="91"/>
    </row>
    <row r="70" spans="1:22" ht="12.25" customHeight="1">
      <c r="A70" s="86">
        <v>45187</v>
      </c>
      <c r="B70" s="87" t="s">
        <v>122</v>
      </c>
      <c r="C70" s="88" t="s">
        <v>576</v>
      </c>
      <c r="D70" s="89">
        <v>7.5</v>
      </c>
      <c r="E70" s="486"/>
      <c r="F70" s="90"/>
      <c r="G70" s="91"/>
      <c r="H70" s="91"/>
      <c r="I70" s="91"/>
      <c r="J70" s="91"/>
      <c r="K70" s="91"/>
      <c r="L70" s="91">
        <f>D70</f>
        <v>7.5</v>
      </c>
      <c r="M70" s="91"/>
      <c r="N70" s="91"/>
      <c r="O70" s="91"/>
      <c r="P70" s="549"/>
      <c r="Q70" s="549"/>
      <c r="R70" s="91"/>
      <c r="S70" s="91"/>
      <c r="T70" s="91"/>
      <c r="U70" s="91"/>
      <c r="V70" s="91"/>
    </row>
    <row r="71" spans="1:22" ht="12.25" customHeight="1">
      <c r="A71" s="86">
        <v>45187</v>
      </c>
      <c r="B71" s="87" t="s">
        <v>122</v>
      </c>
      <c r="C71" s="88" t="s">
        <v>577</v>
      </c>
      <c r="D71" s="89">
        <v>33</v>
      </c>
      <c r="E71" s="486"/>
      <c r="F71" s="90"/>
      <c r="G71" s="91"/>
      <c r="H71" s="91"/>
      <c r="I71" s="91"/>
      <c r="J71" s="91">
        <f>D71</f>
        <v>33</v>
      </c>
      <c r="K71" s="91"/>
      <c r="L71" s="91"/>
      <c r="M71" s="91"/>
      <c r="N71" s="91"/>
      <c r="O71" s="91"/>
      <c r="P71" s="549"/>
      <c r="Q71" s="549"/>
      <c r="R71" s="91"/>
      <c r="S71" s="91"/>
      <c r="T71" s="91"/>
      <c r="U71" s="91"/>
      <c r="V71" s="91"/>
    </row>
    <row r="72" spans="1:22" ht="12.25" customHeight="1">
      <c r="A72" s="86">
        <v>45187</v>
      </c>
      <c r="B72" s="87" t="s">
        <v>122</v>
      </c>
      <c r="C72" s="88" t="s">
        <v>578</v>
      </c>
      <c r="D72" s="89">
        <v>12</v>
      </c>
      <c r="E72" s="486"/>
      <c r="F72" s="90"/>
      <c r="G72" s="91"/>
      <c r="H72" s="91"/>
      <c r="I72" s="91">
        <f>D72</f>
        <v>12</v>
      </c>
      <c r="J72" s="91"/>
      <c r="K72" s="91"/>
      <c r="L72" s="91"/>
      <c r="M72" s="91"/>
      <c r="N72" s="91"/>
      <c r="O72" s="91"/>
      <c r="P72" s="549"/>
      <c r="Q72" s="549"/>
      <c r="R72" s="91"/>
      <c r="S72" s="91"/>
      <c r="T72" s="91"/>
      <c r="U72" s="91"/>
      <c r="V72" s="91"/>
    </row>
    <row r="73" spans="1:22" ht="12.25" customHeight="1">
      <c r="A73" s="86">
        <v>45183</v>
      </c>
      <c r="B73" s="87" t="s">
        <v>122</v>
      </c>
      <c r="C73" s="88" t="s">
        <v>404</v>
      </c>
      <c r="D73" s="89">
        <v>23.57</v>
      </c>
      <c r="E73" s="486"/>
      <c r="F73" s="90"/>
      <c r="G73" s="91"/>
      <c r="H73" s="91"/>
      <c r="I73" s="91">
        <f>D73</f>
        <v>23.57</v>
      </c>
      <c r="J73" s="91"/>
      <c r="K73" s="91"/>
      <c r="L73" s="91"/>
      <c r="M73" s="91"/>
      <c r="N73" s="91"/>
      <c r="O73" s="91"/>
      <c r="P73" s="549"/>
      <c r="Q73" s="549"/>
      <c r="R73" s="91"/>
      <c r="S73" s="91"/>
      <c r="T73" s="91"/>
      <c r="U73" s="91"/>
      <c r="V73" s="91"/>
    </row>
    <row r="74" spans="1:22" ht="12.25" customHeight="1">
      <c r="A74" s="86">
        <v>45181</v>
      </c>
      <c r="B74" s="87" t="s">
        <v>122</v>
      </c>
      <c r="C74" s="88" t="s">
        <v>580</v>
      </c>
      <c r="D74" s="89">
        <v>24</v>
      </c>
      <c r="E74" s="486"/>
      <c r="F74" s="90"/>
      <c r="G74" s="91"/>
      <c r="H74" s="91"/>
      <c r="I74" s="91"/>
      <c r="J74" s="91"/>
      <c r="K74" s="91"/>
      <c r="L74" s="91"/>
      <c r="M74" s="91"/>
      <c r="N74" s="91"/>
      <c r="O74" s="91"/>
      <c r="P74" s="549"/>
      <c r="Q74" s="549"/>
      <c r="R74" s="91"/>
      <c r="S74" s="91"/>
      <c r="T74" s="91">
        <f>D74</f>
        <v>24</v>
      </c>
      <c r="U74" s="91"/>
      <c r="V74" s="91"/>
    </row>
    <row r="75" spans="1:22" ht="12.25" customHeight="1">
      <c r="A75" s="86">
        <v>45181</v>
      </c>
      <c r="B75" s="87" t="s">
        <v>122</v>
      </c>
      <c r="C75" s="88" t="s">
        <v>581</v>
      </c>
      <c r="D75" s="89">
        <v>22</v>
      </c>
      <c r="E75" s="486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549"/>
      <c r="Q75" s="549"/>
      <c r="R75" s="91"/>
      <c r="S75" s="91"/>
      <c r="T75" s="91">
        <f>D75</f>
        <v>22</v>
      </c>
      <c r="U75" s="91"/>
      <c r="V75" s="91"/>
    </row>
    <row r="76" spans="1:22" ht="12.25" customHeight="1">
      <c r="A76" s="86">
        <v>45177</v>
      </c>
      <c r="B76" s="87" t="s">
        <v>122</v>
      </c>
      <c r="C76" s="88" t="s">
        <v>404</v>
      </c>
      <c r="D76" s="89">
        <v>35.36</v>
      </c>
      <c r="E76" s="486"/>
      <c r="F76" s="90"/>
      <c r="G76" s="91"/>
      <c r="H76" s="91"/>
      <c r="I76" s="91">
        <f>D76</f>
        <v>35.36</v>
      </c>
      <c r="J76" s="91"/>
      <c r="K76" s="91"/>
      <c r="L76" s="91"/>
      <c r="M76" s="91"/>
      <c r="N76" s="91"/>
      <c r="O76" s="91"/>
      <c r="P76" s="549"/>
      <c r="Q76" s="549"/>
      <c r="R76" s="91"/>
      <c r="S76" s="91"/>
      <c r="T76" s="91"/>
      <c r="U76" s="91"/>
      <c r="V76" s="91"/>
    </row>
    <row r="77" spans="1:22" ht="12.25" customHeight="1">
      <c r="A77" s="86">
        <v>45176</v>
      </c>
      <c r="B77" s="87" t="s">
        <v>497</v>
      </c>
      <c r="C77" s="88" t="s">
        <v>583</v>
      </c>
      <c r="D77" s="89">
        <v>12</v>
      </c>
      <c r="E77" s="486"/>
      <c r="F77" s="90"/>
      <c r="G77" s="91"/>
      <c r="H77" s="91"/>
      <c r="I77" s="91">
        <f>D77</f>
        <v>12</v>
      </c>
      <c r="J77" s="91"/>
      <c r="K77" s="91"/>
      <c r="L77" s="91"/>
      <c r="M77" s="91"/>
      <c r="N77" s="91"/>
      <c r="O77" s="91"/>
      <c r="P77" s="549"/>
      <c r="Q77" s="549"/>
      <c r="R77" s="91"/>
      <c r="S77" s="91"/>
      <c r="T77" s="91"/>
      <c r="U77" s="91"/>
      <c r="V77" s="91"/>
    </row>
    <row r="78" spans="1:22" ht="12.25" customHeight="1">
      <c r="A78" s="86">
        <v>45167</v>
      </c>
      <c r="B78" s="87" t="s">
        <v>122</v>
      </c>
      <c r="C78" s="88" t="s">
        <v>587</v>
      </c>
      <c r="D78" s="89">
        <v>6</v>
      </c>
      <c r="E78" s="486"/>
      <c r="F78" s="90"/>
      <c r="G78" s="91"/>
      <c r="H78" s="91"/>
      <c r="I78" s="91">
        <f>D78</f>
        <v>6</v>
      </c>
      <c r="J78" s="91"/>
      <c r="K78" s="91"/>
      <c r="L78" s="91"/>
      <c r="M78" s="91"/>
      <c r="N78" s="91"/>
      <c r="O78" s="91"/>
      <c r="P78" s="549"/>
      <c r="Q78" s="549"/>
      <c r="R78" s="91"/>
      <c r="S78" s="91"/>
      <c r="T78" s="91"/>
      <c r="U78" s="91"/>
      <c r="V78" s="91"/>
    </row>
    <row r="79" spans="1:22" ht="12.25" customHeight="1">
      <c r="A79" s="86">
        <v>45167</v>
      </c>
      <c r="B79" s="87" t="s">
        <v>122</v>
      </c>
      <c r="C79" s="88" t="s">
        <v>588</v>
      </c>
      <c r="D79" s="89">
        <v>100</v>
      </c>
      <c r="E79" s="486"/>
      <c r="F79" s="90"/>
      <c r="G79" s="91"/>
      <c r="H79" s="91"/>
      <c r="I79" s="91"/>
      <c r="J79" s="91"/>
      <c r="K79" s="91"/>
      <c r="L79" s="91"/>
      <c r="M79" s="91"/>
      <c r="N79" s="91"/>
      <c r="O79" s="91"/>
      <c r="P79" s="549">
        <f>D79</f>
        <v>100</v>
      </c>
      <c r="Q79" s="549"/>
      <c r="R79" s="91"/>
      <c r="S79" s="91"/>
      <c r="T79" s="91"/>
      <c r="U79" s="91"/>
      <c r="V79" s="91"/>
    </row>
    <row r="80" spans="1:22" ht="12.25" customHeight="1">
      <c r="A80" s="86">
        <v>45154</v>
      </c>
      <c r="B80" s="87" t="s">
        <v>122</v>
      </c>
      <c r="C80" s="88" t="s">
        <v>404</v>
      </c>
      <c r="D80" s="89">
        <v>11.79</v>
      </c>
      <c r="E80" s="486"/>
      <c r="F80" s="90"/>
      <c r="G80" s="91"/>
      <c r="H80" s="91"/>
      <c r="I80" s="91">
        <f>D80</f>
        <v>11.79</v>
      </c>
      <c r="J80" s="91"/>
      <c r="K80" s="91"/>
      <c r="L80" s="91"/>
      <c r="M80" s="91"/>
      <c r="N80" s="91"/>
      <c r="O80" s="91"/>
      <c r="P80" s="549"/>
      <c r="Q80" s="549"/>
      <c r="R80" s="91"/>
      <c r="S80" s="91"/>
      <c r="T80" s="91"/>
      <c r="U80" s="91"/>
      <c r="V80" s="91"/>
    </row>
    <row r="81" spans="1:22" ht="12.25" customHeight="1">
      <c r="A81" s="86">
        <v>45131</v>
      </c>
      <c r="B81" s="87" t="s">
        <v>122</v>
      </c>
      <c r="C81" s="88" t="s">
        <v>592</v>
      </c>
      <c r="D81" s="89">
        <v>140</v>
      </c>
      <c r="E81" s="486"/>
      <c r="F81" s="90"/>
      <c r="G81" s="91"/>
      <c r="H81" s="91"/>
      <c r="I81" s="91"/>
      <c r="J81" s="91"/>
      <c r="K81" s="91"/>
      <c r="L81" s="91">
        <f>D81</f>
        <v>140</v>
      </c>
      <c r="M81" s="91"/>
      <c r="N81" s="91"/>
      <c r="O81" s="91"/>
      <c r="P81" s="549"/>
      <c r="Q81" s="549"/>
      <c r="R81" s="91"/>
      <c r="S81" s="91"/>
      <c r="T81" s="91"/>
      <c r="U81" s="91"/>
      <c r="V81" s="91"/>
    </row>
    <row r="82" spans="1:22" ht="12.25" customHeight="1">
      <c r="A82" s="86">
        <v>45125</v>
      </c>
      <c r="B82" s="87" t="s">
        <v>122</v>
      </c>
      <c r="C82" s="88" t="s">
        <v>593</v>
      </c>
      <c r="D82" s="89">
        <v>127</v>
      </c>
      <c r="E82" s="486"/>
      <c r="F82" s="90"/>
      <c r="G82" s="91"/>
      <c r="H82" s="91"/>
      <c r="I82" s="91"/>
      <c r="J82" s="91"/>
      <c r="K82" s="91"/>
      <c r="L82" s="91"/>
      <c r="M82" s="91"/>
      <c r="N82" s="91"/>
      <c r="O82" s="91"/>
      <c r="P82" s="549">
        <f>D82</f>
        <v>127</v>
      </c>
      <c r="Q82" s="549"/>
      <c r="R82" s="91"/>
      <c r="S82" s="91"/>
      <c r="T82" s="91"/>
      <c r="U82" s="91"/>
      <c r="V82" s="91"/>
    </row>
    <row r="83" spans="1:22" ht="12.25" customHeight="1">
      <c r="A83" s="86">
        <v>45125</v>
      </c>
      <c r="B83" s="87" t="s">
        <v>122</v>
      </c>
      <c r="C83" s="88" t="s">
        <v>594</v>
      </c>
      <c r="D83" s="89">
        <v>30</v>
      </c>
      <c r="E83" s="486"/>
      <c r="F83" s="90"/>
      <c r="G83" s="91"/>
      <c r="H83" s="91"/>
      <c r="I83" s="91">
        <f>D83</f>
        <v>30</v>
      </c>
      <c r="J83" s="91"/>
      <c r="K83" s="91"/>
      <c r="L83" s="91"/>
      <c r="M83" s="91"/>
      <c r="N83" s="91"/>
      <c r="O83" s="91"/>
      <c r="P83" s="549"/>
      <c r="Q83" s="549"/>
      <c r="R83" s="91"/>
      <c r="S83" s="91"/>
      <c r="T83" s="91"/>
      <c r="U83" s="91"/>
      <c r="V83" s="91"/>
    </row>
    <row r="84" spans="1:22" ht="12.25" customHeight="1">
      <c r="A84" s="86">
        <v>45091</v>
      </c>
      <c r="B84" s="87" t="s">
        <v>122</v>
      </c>
      <c r="C84" s="88" t="s">
        <v>404</v>
      </c>
      <c r="D84" s="89">
        <v>633.5</v>
      </c>
      <c r="E84" s="486"/>
      <c r="F84" s="90"/>
      <c r="G84" s="91"/>
      <c r="H84" s="91"/>
      <c r="I84" s="91">
        <f>D84</f>
        <v>633.5</v>
      </c>
      <c r="J84" s="91"/>
      <c r="K84" s="91"/>
      <c r="L84" s="91"/>
      <c r="M84" s="91"/>
      <c r="N84" s="91"/>
      <c r="O84" s="91"/>
      <c r="P84" s="549"/>
      <c r="Q84" s="549"/>
      <c r="R84" s="91"/>
      <c r="S84" s="91"/>
      <c r="T84" s="91"/>
      <c r="U84" s="91"/>
      <c r="V84" s="91"/>
    </row>
    <row r="85" spans="1:22" ht="12.25" customHeight="1">
      <c r="A85" s="86">
        <v>45091</v>
      </c>
      <c r="B85" s="87" t="s">
        <v>122</v>
      </c>
      <c r="C85" s="88" t="s">
        <v>600</v>
      </c>
      <c r="D85" s="89">
        <v>31</v>
      </c>
      <c r="E85" s="486"/>
      <c r="F85" s="90"/>
      <c r="G85" s="91"/>
      <c r="H85" s="91"/>
      <c r="I85" s="91"/>
      <c r="J85" s="91"/>
      <c r="K85" s="91">
        <f>D85</f>
        <v>31</v>
      </c>
      <c r="L85" s="91"/>
      <c r="M85" s="91"/>
      <c r="N85" s="91"/>
      <c r="O85" s="91"/>
      <c r="P85" s="549"/>
      <c r="Q85" s="549"/>
      <c r="R85" s="91"/>
      <c r="S85" s="91"/>
      <c r="T85" s="91"/>
      <c r="U85" s="91"/>
      <c r="V85" s="91"/>
    </row>
    <row r="86" spans="1:22" ht="12.25" customHeight="1">
      <c r="A86" s="86">
        <v>45091</v>
      </c>
      <c r="B86" s="87" t="s">
        <v>122</v>
      </c>
      <c r="C86" s="88" t="s">
        <v>601</v>
      </c>
      <c r="D86" s="89">
        <v>48</v>
      </c>
      <c r="E86" s="486"/>
      <c r="F86" s="90"/>
      <c r="G86" s="91"/>
      <c r="H86" s="91"/>
      <c r="I86" s="91">
        <f>D86</f>
        <v>48</v>
      </c>
      <c r="J86" s="91"/>
      <c r="K86" s="91"/>
      <c r="L86" s="91"/>
      <c r="M86" s="91"/>
      <c r="N86" s="91"/>
      <c r="O86" s="91"/>
      <c r="P86" s="549"/>
      <c r="Q86" s="549"/>
      <c r="R86" s="91"/>
      <c r="S86" s="91"/>
      <c r="T86" s="91"/>
      <c r="U86" s="91"/>
      <c r="V86" s="91"/>
    </row>
    <row r="87" spans="1:22" ht="12.25" customHeight="1">
      <c r="A87" s="86">
        <v>45091</v>
      </c>
      <c r="B87" s="87" t="s">
        <v>122</v>
      </c>
      <c r="C87" s="88" t="s">
        <v>602</v>
      </c>
      <c r="D87" s="89">
        <v>44</v>
      </c>
      <c r="E87" s="486"/>
      <c r="F87" s="90"/>
      <c r="G87" s="91"/>
      <c r="H87" s="91"/>
      <c r="I87" s="91"/>
      <c r="J87" s="91"/>
      <c r="K87" s="91"/>
      <c r="L87" s="91"/>
      <c r="M87" s="91"/>
      <c r="N87" s="91"/>
      <c r="O87" s="91"/>
      <c r="P87" s="549"/>
      <c r="Q87" s="549">
        <f>D87</f>
        <v>44</v>
      </c>
      <c r="R87" s="91"/>
      <c r="S87" s="91"/>
      <c r="T87" s="91"/>
      <c r="U87" s="91"/>
      <c r="V87" s="91"/>
    </row>
    <row r="88" spans="1:22" ht="12.25" customHeight="1">
      <c r="A88" s="86">
        <v>45091</v>
      </c>
      <c r="B88" s="87" t="s">
        <v>122</v>
      </c>
      <c r="C88" s="88" t="s">
        <v>603</v>
      </c>
      <c r="D88" s="89">
        <v>4</v>
      </c>
      <c r="E88" s="486"/>
      <c r="F88" s="90"/>
      <c r="G88" s="91"/>
      <c r="H88" s="91"/>
      <c r="I88" s="91"/>
      <c r="J88" s="91"/>
      <c r="K88" s="91"/>
      <c r="L88" s="91">
        <f>D88</f>
        <v>4</v>
      </c>
      <c r="M88" s="91"/>
      <c r="N88" s="91"/>
      <c r="O88" s="91"/>
      <c r="P88" s="549"/>
      <c r="Q88" s="549"/>
      <c r="R88" s="91"/>
      <c r="S88" s="91"/>
      <c r="T88" s="91"/>
      <c r="U88" s="91"/>
      <c r="V88" s="91"/>
    </row>
    <row r="89" spans="1:22" ht="12.25" customHeight="1">
      <c r="A89" s="86">
        <v>45091</v>
      </c>
      <c r="B89" s="87" t="s">
        <v>122</v>
      </c>
      <c r="C89" s="88" t="s">
        <v>604</v>
      </c>
      <c r="D89" s="89">
        <v>20</v>
      </c>
      <c r="E89" s="486"/>
      <c r="F89" s="90"/>
      <c r="G89" s="91"/>
      <c r="H89" s="91"/>
      <c r="I89" s="91"/>
      <c r="J89" s="91"/>
      <c r="K89" s="91"/>
      <c r="L89" s="91"/>
      <c r="M89" s="91"/>
      <c r="N89" s="91"/>
      <c r="O89" s="91"/>
      <c r="P89" s="549"/>
      <c r="Q89" s="549">
        <f>D89</f>
        <v>20</v>
      </c>
      <c r="R89" s="91"/>
      <c r="S89" s="91"/>
      <c r="T89" s="91"/>
      <c r="U89" s="91"/>
      <c r="V89" s="91"/>
    </row>
    <row r="90" spans="1:22" ht="12.25" customHeight="1">
      <c r="A90" s="86">
        <v>45091</v>
      </c>
      <c r="B90" s="87" t="s">
        <v>122</v>
      </c>
      <c r="C90" s="88" t="s">
        <v>605</v>
      </c>
      <c r="D90" s="89">
        <v>210</v>
      </c>
      <c r="E90" s="486"/>
      <c r="F90" s="90"/>
      <c r="G90" s="91"/>
      <c r="H90" s="91"/>
      <c r="I90" s="91"/>
      <c r="J90" s="91"/>
      <c r="K90" s="91"/>
      <c r="L90" s="91"/>
      <c r="M90" s="91"/>
      <c r="N90" s="91"/>
      <c r="O90" s="91"/>
      <c r="P90" s="549"/>
      <c r="Q90" s="549">
        <f>D90</f>
        <v>210</v>
      </c>
      <c r="R90" s="91"/>
      <c r="S90" s="91"/>
      <c r="T90" s="91"/>
      <c r="U90" s="91"/>
      <c r="V90" s="91"/>
    </row>
    <row r="91" spans="1:22" ht="12.25" customHeight="1">
      <c r="A91" s="86">
        <v>45084</v>
      </c>
      <c r="B91" s="87" t="s">
        <v>122</v>
      </c>
      <c r="C91" s="88" t="s">
        <v>404</v>
      </c>
      <c r="D91" s="89">
        <v>64.83</v>
      </c>
      <c r="E91" s="486"/>
      <c r="F91" s="90"/>
      <c r="G91" s="91"/>
      <c r="H91" s="91"/>
      <c r="I91" s="91">
        <f>D91</f>
        <v>64.83</v>
      </c>
      <c r="J91" s="91"/>
      <c r="K91" s="91"/>
      <c r="L91" s="91"/>
      <c r="M91" s="91"/>
      <c r="N91" s="91"/>
      <c r="O91" s="91"/>
      <c r="P91" s="549"/>
      <c r="Q91" s="549"/>
      <c r="R91" s="91"/>
      <c r="S91" s="91"/>
      <c r="T91" s="91"/>
      <c r="U91" s="91"/>
      <c r="V91" s="91"/>
    </row>
    <row r="92" spans="1:22" ht="12.25" customHeight="1">
      <c r="A92" s="86">
        <v>45083</v>
      </c>
      <c r="B92" s="87" t="s">
        <v>122</v>
      </c>
      <c r="C92" s="88" t="s">
        <v>607</v>
      </c>
      <c r="D92" s="89">
        <v>70</v>
      </c>
      <c r="E92" s="486"/>
      <c r="F92" s="90"/>
      <c r="G92" s="91"/>
      <c r="H92" s="91"/>
      <c r="I92" s="91"/>
      <c r="J92" s="91"/>
      <c r="K92" s="91"/>
      <c r="L92" s="91">
        <f>D92</f>
        <v>70</v>
      </c>
      <c r="M92" s="91"/>
      <c r="N92" s="91"/>
      <c r="O92" s="91"/>
      <c r="P92" s="549"/>
      <c r="Q92" s="549"/>
      <c r="R92" s="91"/>
      <c r="S92" s="91"/>
      <c r="T92" s="91"/>
      <c r="U92" s="91"/>
      <c r="V92" s="91"/>
    </row>
    <row r="93" spans="1:22" ht="12.25" customHeight="1">
      <c r="A93" s="86">
        <v>45070</v>
      </c>
      <c r="B93" s="87" t="s">
        <v>122</v>
      </c>
      <c r="C93" s="88" t="s">
        <v>614</v>
      </c>
      <c r="D93" s="89">
        <v>500</v>
      </c>
      <c r="E93" s="486"/>
      <c r="F93" s="90"/>
      <c r="G93" s="91"/>
      <c r="H93" s="91"/>
      <c r="I93" s="91"/>
      <c r="J93" s="91"/>
      <c r="K93" s="91"/>
      <c r="L93" s="91"/>
      <c r="M93" s="91">
        <f>D93</f>
        <v>500</v>
      </c>
      <c r="N93" s="91"/>
      <c r="O93" s="91"/>
      <c r="P93" s="549"/>
      <c r="Q93" s="549"/>
      <c r="R93" s="91"/>
      <c r="S93" s="91"/>
      <c r="T93" s="91"/>
      <c r="U93" s="91"/>
      <c r="V93" s="91"/>
    </row>
    <row r="94" spans="1:22" ht="12.25" customHeight="1">
      <c r="A94" s="86">
        <v>45070</v>
      </c>
      <c r="B94" s="87" t="s">
        <v>122</v>
      </c>
      <c r="C94" s="88" t="s">
        <v>615</v>
      </c>
      <c r="D94" s="89">
        <v>100</v>
      </c>
      <c r="E94" s="486"/>
      <c r="F94" s="90"/>
      <c r="G94" s="91"/>
      <c r="H94" s="91"/>
      <c r="I94" s="91"/>
      <c r="J94" s="91"/>
      <c r="K94" s="91"/>
      <c r="L94" s="91"/>
      <c r="M94" s="91">
        <f>D94</f>
        <v>100</v>
      </c>
      <c r="N94" s="91"/>
      <c r="O94" s="91"/>
      <c r="P94" s="549"/>
      <c r="Q94" s="549"/>
      <c r="R94" s="91"/>
      <c r="S94" s="91"/>
      <c r="T94" s="91"/>
      <c r="U94" s="91"/>
      <c r="V94" s="91"/>
    </row>
    <row r="95" spans="1:22" ht="12.25" customHeight="1">
      <c r="A95" s="86">
        <v>45068</v>
      </c>
      <c r="B95" s="87" t="s">
        <v>122</v>
      </c>
      <c r="C95" s="88" t="s">
        <v>616</v>
      </c>
      <c r="D95" s="89">
        <v>193</v>
      </c>
      <c r="E95" s="486"/>
      <c r="F95" s="90"/>
      <c r="G95" s="91"/>
      <c r="H95" s="91"/>
      <c r="I95" s="91"/>
      <c r="J95" s="91"/>
      <c r="K95" s="91"/>
      <c r="L95" s="91"/>
      <c r="M95" s="91"/>
      <c r="N95" s="91"/>
      <c r="O95" s="91"/>
      <c r="P95" s="549">
        <f>D95</f>
        <v>193</v>
      </c>
      <c r="Q95" s="549"/>
      <c r="R95" s="91"/>
      <c r="S95" s="91"/>
      <c r="T95" s="91"/>
      <c r="U95" s="91"/>
      <c r="V95" s="91"/>
    </row>
    <row r="96" spans="1:22" ht="12.25" customHeight="1">
      <c r="A96" s="86">
        <v>45068</v>
      </c>
      <c r="B96" s="87" t="s">
        <v>122</v>
      </c>
      <c r="C96" s="88" t="s">
        <v>617</v>
      </c>
      <c r="D96" s="89">
        <v>36</v>
      </c>
      <c r="E96" s="486"/>
      <c r="F96" s="90"/>
      <c r="G96" s="91"/>
      <c r="H96" s="91"/>
      <c r="I96" s="91">
        <f>D96</f>
        <v>36</v>
      </c>
      <c r="J96" s="91"/>
      <c r="K96" s="91"/>
      <c r="L96" s="91"/>
      <c r="M96" s="91"/>
      <c r="N96" s="91"/>
      <c r="O96" s="91"/>
      <c r="P96" s="549"/>
      <c r="Q96" s="549"/>
      <c r="R96" s="91"/>
      <c r="S96" s="91"/>
      <c r="T96" s="91"/>
      <c r="U96" s="91"/>
      <c r="V96" s="91"/>
    </row>
    <row r="97" spans="1:22" ht="12.25" customHeight="1">
      <c r="A97" s="86">
        <v>45056</v>
      </c>
      <c r="B97" s="87" t="s">
        <v>124</v>
      </c>
      <c r="C97" s="88" t="s">
        <v>618</v>
      </c>
      <c r="D97" s="89">
        <v>11.8</v>
      </c>
      <c r="E97" s="486"/>
      <c r="F97" s="90"/>
      <c r="G97" s="91"/>
      <c r="H97" s="91"/>
      <c r="I97" s="91"/>
      <c r="J97" s="91"/>
      <c r="K97" s="91"/>
      <c r="L97" s="91">
        <f>D97</f>
        <v>11.8</v>
      </c>
      <c r="M97" s="91"/>
      <c r="N97" s="91"/>
      <c r="O97" s="91"/>
      <c r="P97" s="549"/>
      <c r="Q97" s="549"/>
      <c r="R97" s="91"/>
      <c r="S97" s="91"/>
      <c r="T97" s="91"/>
      <c r="U97" s="91"/>
      <c r="V97" s="91"/>
    </row>
    <row r="98" spans="1:22" ht="12.25" customHeight="1">
      <c r="A98" s="86">
        <v>45051</v>
      </c>
      <c r="B98" s="87" t="s">
        <v>122</v>
      </c>
      <c r="C98" s="88" t="s">
        <v>404</v>
      </c>
      <c r="D98" s="89">
        <v>29.47</v>
      </c>
      <c r="E98" s="486"/>
      <c r="F98" s="90"/>
      <c r="G98" s="91"/>
      <c r="H98" s="91"/>
      <c r="I98" s="91">
        <f t="shared" ref="I98:I100" si="5">D98</f>
        <v>29.47</v>
      </c>
      <c r="J98" s="91"/>
      <c r="K98" s="91"/>
      <c r="L98" s="91"/>
      <c r="M98" s="91"/>
      <c r="N98" s="91"/>
      <c r="O98" s="91"/>
      <c r="P98" s="549"/>
      <c r="Q98" s="549"/>
      <c r="R98" s="91"/>
      <c r="S98" s="91"/>
      <c r="T98" s="91"/>
      <c r="U98" s="91"/>
      <c r="V98" s="91"/>
    </row>
    <row r="99" spans="1:22" ht="12.25" customHeight="1">
      <c r="A99" s="86">
        <v>45049</v>
      </c>
      <c r="B99" s="87" t="s">
        <v>122</v>
      </c>
      <c r="C99" s="88" t="s">
        <v>404</v>
      </c>
      <c r="D99" s="89">
        <v>56.97</v>
      </c>
      <c r="E99" s="486"/>
      <c r="F99" s="90"/>
      <c r="G99" s="91"/>
      <c r="H99" s="91"/>
      <c r="I99" s="91">
        <f t="shared" si="5"/>
        <v>56.97</v>
      </c>
      <c r="J99" s="91"/>
      <c r="K99" s="91"/>
      <c r="L99" s="91"/>
      <c r="M99" s="91"/>
      <c r="N99" s="91"/>
      <c r="O99" s="91"/>
      <c r="P99" s="549"/>
      <c r="Q99" s="549"/>
      <c r="R99" s="91"/>
      <c r="S99" s="91"/>
      <c r="T99" s="91"/>
      <c r="U99" s="91"/>
      <c r="V99" s="91"/>
    </row>
    <row r="100" spans="1:22" ht="12.25" customHeight="1">
      <c r="A100" s="86">
        <v>45036</v>
      </c>
      <c r="B100" s="87" t="s">
        <v>122</v>
      </c>
      <c r="C100" s="88" t="s">
        <v>622</v>
      </c>
      <c r="D100" s="89">
        <v>1916.96</v>
      </c>
      <c r="E100" s="486"/>
      <c r="F100" s="90"/>
      <c r="G100" s="91"/>
      <c r="H100" s="91"/>
      <c r="I100" s="91">
        <f t="shared" si="5"/>
        <v>1916.96</v>
      </c>
      <c r="J100" s="91"/>
      <c r="K100" s="91"/>
      <c r="L100" s="91"/>
      <c r="M100" s="91"/>
      <c r="N100" s="91"/>
      <c r="O100" s="91"/>
      <c r="P100" s="549"/>
      <c r="Q100" s="549"/>
      <c r="R100" s="91"/>
      <c r="S100" s="91"/>
      <c r="T100" s="91"/>
      <c r="U100" s="91"/>
      <c r="V100" s="91"/>
    </row>
    <row r="101" spans="1:22" ht="12.25" customHeight="1">
      <c r="A101" s="86">
        <v>45016</v>
      </c>
      <c r="B101" s="87" t="s">
        <v>132</v>
      </c>
      <c r="C101" s="88">
        <v>100356</v>
      </c>
      <c r="D101" s="89">
        <v>20.2</v>
      </c>
      <c r="E101" s="486"/>
      <c r="F101" s="90"/>
      <c r="G101" s="91"/>
      <c r="H101" s="91"/>
      <c r="I101" s="91">
        <f>D101</f>
        <v>20.2</v>
      </c>
      <c r="J101" s="91"/>
      <c r="K101" s="91"/>
      <c r="L101" s="91"/>
      <c r="M101" s="91"/>
      <c r="N101" s="91"/>
      <c r="O101" s="91"/>
      <c r="P101" s="549"/>
      <c r="Q101" s="549"/>
      <c r="R101" s="91"/>
      <c r="S101" s="91"/>
      <c r="T101" s="91"/>
      <c r="U101" s="91"/>
      <c r="V101" s="91"/>
    </row>
    <row r="102" spans="1:22" ht="12.25" customHeight="1">
      <c r="A102" s="86"/>
      <c r="B102" s="87"/>
      <c r="C102" s="88"/>
      <c r="D102" s="89"/>
      <c r="E102" s="486"/>
      <c r="F102" s="90"/>
      <c r="G102" s="91"/>
      <c r="H102" s="91"/>
      <c r="I102" s="91"/>
      <c r="J102" s="91"/>
      <c r="K102" s="91"/>
      <c r="L102" s="91"/>
      <c r="M102" s="91"/>
      <c r="N102" s="91"/>
      <c r="O102" s="91"/>
      <c r="P102" s="549"/>
      <c r="Q102" s="549"/>
      <c r="R102" s="91"/>
      <c r="S102" s="91"/>
      <c r="T102" s="91"/>
      <c r="U102" s="91"/>
      <c r="V102" s="91"/>
    </row>
    <row r="103" spans="1:22" ht="12.25" customHeight="1">
      <c r="A103" s="86"/>
      <c r="B103" s="87"/>
      <c r="C103" s="88"/>
      <c r="D103" s="89"/>
      <c r="E103" s="486"/>
      <c r="F103" s="90"/>
      <c r="G103" s="91"/>
      <c r="H103" s="91"/>
      <c r="I103" s="91"/>
      <c r="J103" s="91"/>
      <c r="K103" s="91"/>
      <c r="L103" s="91"/>
      <c r="M103" s="91"/>
      <c r="N103" s="91"/>
      <c r="O103" s="91"/>
      <c r="P103" s="549"/>
      <c r="Q103" s="549"/>
      <c r="R103" s="91"/>
      <c r="S103" s="91"/>
      <c r="T103" s="91"/>
      <c r="U103" s="91"/>
      <c r="V103" s="91"/>
    </row>
    <row r="104" spans="1:22" ht="12.25" customHeight="1">
      <c r="A104" s="86"/>
      <c r="B104" s="87"/>
      <c r="C104" s="88"/>
      <c r="D104" s="89"/>
      <c r="E104" s="486"/>
      <c r="F104" s="90"/>
      <c r="G104" s="91"/>
      <c r="H104" s="91"/>
      <c r="I104" s="91"/>
      <c r="J104" s="91"/>
      <c r="K104" s="91"/>
      <c r="L104" s="91"/>
      <c r="M104" s="91"/>
      <c r="N104" s="91"/>
      <c r="O104" s="91"/>
      <c r="P104" s="549"/>
      <c r="Q104" s="549"/>
      <c r="R104" s="91"/>
      <c r="S104" s="91"/>
      <c r="T104" s="91"/>
      <c r="U104" s="91"/>
      <c r="V104" s="91"/>
    </row>
    <row r="105" spans="1:22" ht="12.25" customHeight="1">
      <c r="A105" s="86"/>
      <c r="B105" s="87"/>
      <c r="C105" s="88"/>
      <c r="D105" s="89"/>
      <c r="E105" s="486"/>
      <c r="F105" s="90"/>
      <c r="G105" s="91"/>
      <c r="H105" s="91"/>
      <c r="I105" s="91"/>
      <c r="J105" s="91"/>
      <c r="K105" s="91"/>
      <c r="L105" s="91"/>
      <c r="M105" s="91"/>
      <c r="N105" s="91"/>
      <c r="O105" s="91"/>
      <c r="P105" s="549"/>
      <c r="Q105" s="549"/>
      <c r="R105" s="91"/>
      <c r="S105" s="91"/>
      <c r="T105" s="91"/>
      <c r="U105" s="91"/>
      <c r="V105" s="91"/>
    </row>
    <row r="106" spans="1:22" ht="12.25" customHeight="1">
      <c r="A106" s="86"/>
      <c r="B106" s="87"/>
      <c r="C106" s="88"/>
      <c r="D106" s="89"/>
      <c r="E106" s="486"/>
      <c r="F106" s="90"/>
      <c r="G106" s="91"/>
      <c r="H106" s="91"/>
      <c r="I106" s="91"/>
      <c r="J106" s="91"/>
      <c r="K106" s="91"/>
      <c r="L106" s="91"/>
      <c r="M106" s="91"/>
      <c r="N106" s="91"/>
      <c r="O106" s="91"/>
      <c r="P106" s="549"/>
      <c r="Q106" s="549"/>
      <c r="R106" s="91"/>
      <c r="S106" s="91"/>
      <c r="T106" s="91"/>
      <c r="U106" s="91"/>
      <c r="V106" s="91"/>
    </row>
    <row r="107" spans="1:22" ht="12.25" customHeight="1">
      <c r="A107" s="86"/>
      <c r="B107" s="87"/>
      <c r="C107" s="88"/>
      <c r="D107" s="89"/>
      <c r="E107" s="486"/>
      <c r="F107" s="90"/>
      <c r="G107" s="91"/>
      <c r="H107" s="91"/>
      <c r="I107" s="91"/>
      <c r="J107" s="91"/>
      <c r="K107" s="91"/>
      <c r="L107" s="91"/>
      <c r="M107" s="91"/>
      <c r="N107" s="91"/>
      <c r="O107" s="91"/>
      <c r="P107" s="549"/>
      <c r="Q107" s="549"/>
      <c r="R107" s="91"/>
      <c r="S107" s="91"/>
      <c r="T107" s="91"/>
      <c r="U107" s="91"/>
      <c r="V107" s="91"/>
    </row>
    <row r="108" spans="1:22" ht="12.25" customHeight="1">
      <c r="A108" s="86"/>
      <c r="B108" s="87"/>
      <c r="C108" s="88"/>
      <c r="D108" s="89"/>
      <c r="E108" s="486"/>
      <c r="F108" s="90"/>
      <c r="G108" s="91"/>
      <c r="H108" s="91"/>
      <c r="I108" s="91"/>
      <c r="J108" s="91"/>
      <c r="K108" s="91"/>
      <c r="L108" s="91"/>
      <c r="M108" s="91"/>
      <c r="N108" s="91"/>
      <c r="O108" s="91"/>
      <c r="P108" s="549"/>
      <c r="Q108" s="549"/>
      <c r="R108" s="91"/>
      <c r="S108" s="91"/>
      <c r="T108" s="91"/>
      <c r="U108" s="91"/>
      <c r="V108" s="91"/>
    </row>
    <row r="109" spans="1:22" s="575" customFormat="1" ht="12.25" customHeight="1">
      <c r="A109" s="571"/>
      <c r="B109" s="571"/>
      <c r="C109" s="572"/>
      <c r="D109" s="566">
        <f>SUM(D7:D108)</f>
        <v>28248.770000000004</v>
      </c>
      <c r="E109" s="573"/>
      <c r="F109" s="574"/>
      <c r="G109" s="551">
        <f t="shared" ref="G109:V109" si="6">SUM(G6:G108)</f>
        <v>513.07000000000005</v>
      </c>
      <c r="H109" s="551">
        <f t="shared" si="6"/>
        <v>20000</v>
      </c>
      <c r="I109" s="551">
        <f t="shared" si="6"/>
        <v>3063.44</v>
      </c>
      <c r="J109" s="551">
        <f t="shared" si="6"/>
        <v>123</v>
      </c>
      <c r="K109" s="551">
        <f t="shared" si="6"/>
        <v>123</v>
      </c>
      <c r="L109" s="551">
        <f t="shared" si="6"/>
        <v>302.3</v>
      </c>
      <c r="M109" s="551">
        <f t="shared" si="6"/>
        <v>1350</v>
      </c>
      <c r="N109" s="494">
        <f t="shared" si="6"/>
        <v>0</v>
      </c>
      <c r="O109" s="494">
        <f t="shared" si="6"/>
        <v>0</v>
      </c>
      <c r="P109" s="551">
        <f t="shared" si="6"/>
        <v>1056</v>
      </c>
      <c r="Q109" s="551">
        <f t="shared" si="6"/>
        <v>274</v>
      </c>
      <c r="R109" s="494">
        <f t="shared" si="6"/>
        <v>0</v>
      </c>
      <c r="S109" s="494">
        <f t="shared" si="6"/>
        <v>1397.9600000000003</v>
      </c>
      <c r="T109" s="494">
        <f t="shared" si="6"/>
        <v>46</v>
      </c>
      <c r="U109" s="494">
        <f t="shared" si="6"/>
        <v>0</v>
      </c>
      <c r="V109" s="494">
        <f t="shared" si="6"/>
        <v>0</v>
      </c>
    </row>
    <row r="110" spans="1:22" ht="12.25" customHeight="1">
      <c r="A110" s="86"/>
      <c r="B110" s="87"/>
      <c r="C110" s="88"/>
      <c r="D110" s="89"/>
      <c r="E110" s="486"/>
      <c r="F110" s="90"/>
      <c r="G110" s="91"/>
      <c r="H110" s="91"/>
      <c r="I110" s="91"/>
      <c r="J110" s="91"/>
      <c r="K110" s="91"/>
      <c r="L110" s="91"/>
      <c r="M110" s="91"/>
      <c r="N110" s="91"/>
      <c r="O110" s="91"/>
      <c r="P110" s="549"/>
      <c r="Q110" s="551"/>
      <c r="R110" s="494"/>
      <c r="S110" s="494"/>
      <c r="T110" s="494"/>
      <c r="U110" s="494"/>
      <c r="V110" s="494"/>
    </row>
    <row r="111" spans="1:22" ht="12.25" customHeight="1">
      <c r="A111" s="86"/>
      <c r="B111" s="87"/>
      <c r="C111" s="88" t="s">
        <v>490</v>
      </c>
      <c r="D111" s="89">
        <f>D109-SUM(G109:V109)</f>
        <v>0</v>
      </c>
      <c r="E111" s="486"/>
      <c r="F111" s="90"/>
      <c r="G111" s="91"/>
      <c r="H111" s="91"/>
      <c r="I111" s="91"/>
      <c r="J111" s="91"/>
      <c r="K111" s="91"/>
      <c r="L111" s="91"/>
      <c r="M111" s="91"/>
      <c r="N111" s="91"/>
      <c r="O111" s="91"/>
      <c r="P111" s="549"/>
      <c r="Q111" s="549"/>
      <c r="R111" s="91"/>
      <c r="S111" s="91"/>
      <c r="T111" s="91"/>
      <c r="U111" s="91"/>
      <c r="V111" s="91"/>
    </row>
    <row r="112" spans="1:22" ht="12.25" customHeight="1">
      <c r="A112" s="86"/>
      <c r="B112" s="87"/>
      <c r="C112" s="88"/>
      <c r="D112" s="89"/>
      <c r="E112" s="486"/>
      <c r="F112" s="90"/>
      <c r="G112" s="91"/>
      <c r="H112" s="91"/>
      <c r="I112" s="91"/>
      <c r="J112" s="91"/>
      <c r="K112" s="91"/>
      <c r="L112" s="91"/>
      <c r="M112" s="91"/>
      <c r="N112" s="91"/>
      <c r="O112" s="91"/>
      <c r="P112" s="549"/>
      <c r="Q112" s="549"/>
      <c r="R112" s="91"/>
      <c r="S112" s="91"/>
      <c r="T112" s="91"/>
      <c r="U112" s="91"/>
      <c r="V112" s="91"/>
    </row>
    <row r="113" spans="1:22" ht="12.25" customHeight="1">
      <c r="A113" s="86"/>
      <c r="B113" s="87"/>
      <c r="C113" s="88"/>
      <c r="D113" s="89"/>
      <c r="E113" s="486"/>
      <c r="F113" s="90"/>
      <c r="G113" s="91"/>
      <c r="H113" s="91"/>
      <c r="I113" s="91"/>
      <c r="J113" s="91"/>
      <c r="K113" s="91"/>
      <c r="L113" s="91"/>
      <c r="M113" s="91"/>
      <c r="N113" s="91"/>
      <c r="O113" s="91"/>
      <c r="P113" s="549"/>
      <c r="Q113" s="549"/>
      <c r="R113" s="91"/>
      <c r="S113" s="91"/>
      <c r="T113" s="91"/>
      <c r="U113" s="91"/>
      <c r="V113" s="91"/>
    </row>
    <row r="114" spans="1:22" ht="12.25" customHeight="1">
      <c r="A114" s="86"/>
      <c r="B114" s="87"/>
      <c r="C114" s="88"/>
      <c r="D114" s="89"/>
      <c r="E114" s="486"/>
      <c r="F114" s="90"/>
      <c r="G114" s="91"/>
      <c r="H114" s="91"/>
      <c r="I114" s="91"/>
      <c r="J114" s="91"/>
      <c r="K114" s="91"/>
      <c r="L114" s="91"/>
      <c r="M114" s="91"/>
      <c r="N114" s="91"/>
      <c r="O114" s="91"/>
      <c r="P114" s="549"/>
      <c r="Q114" s="549"/>
      <c r="R114" s="91"/>
      <c r="S114" s="91"/>
      <c r="T114" s="91"/>
      <c r="U114" s="91"/>
      <c r="V114" s="91"/>
    </row>
    <row r="115" spans="1:22" ht="12.25" customHeight="1">
      <c r="A115" s="86"/>
      <c r="B115" s="87"/>
      <c r="C115" s="88"/>
      <c r="D115" s="89"/>
      <c r="E115" s="486"/>
      <c r="F115" s="90"/>
      <c r="G115" s="91"/>
      <c r="H115" s="91"/>
      <c r="I115" s="91"/>
      <c r="J115" s="91"/>
      <c r="K115" s="91"/>
      <c r="L115" s="91"/>
      <c r="M115" s="91"/>
      <c r="N115" s="91"/>
      <c r="O115" s="91"/>
      <c r="P115" s="549"/>
      <c r="Q115" s="549"/>
      <c r="R115" s="91"/>
      <c r="S115" s="91"/>
      <c r="T115" s="91"/>
      <c r="U115" s="91"/>
      <c r="V115" s="91"/>
    </row>
  </sheetData>
  <mergeCells count="2">
    <mergeCell ref="A1:V1"/>
    <mergeCell ref="B3:C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FEA1-C200-4BC9-82DD-6919FC88E155}">
  <dimension ref="A1:AJ83"/>
  <sheetViews>
    <sheetView topLeftCell="A53" zoomScaleNormal="100" workbookViewId="0">
      <selection activeCell="C70" sqref="C70"/>
    </sheetView>
  </sheetViews>
  <sheetFormatPr baseColWidth="10" defaultColWidth="16.33203125" defaultRowHeight="13"/>
  <cols>
    <col min="1" max="1" width="16.33203125" style="1"/>
    <col min="2" max="2" width="10.83203125" style="1" customWidth="1"/>
    <col min="3" max="3" width="87.6640625" style="1" bestFit="1" customWidth="1"/>
    <col min="4" max="5" width="11.1640625" style="1" customWidth="1"/>
    <col min="6" max="6" width="8.83203125" style="1" bestFit="1" customWidth="1"/>
    <col min="7" max="7" width="8.1640625" style="1" bestFit="1" customWidth="1"/>
    <col min="8" max="8" width="6.33203125" style="1" customWidth="1"/>
    <col min="9" max="9" width="8.1640625" style="1" customWidth="1"/>
    <col min="10" max="10" width="6.1640625" style="1" customWidth="1"/>
    <col min="11" max="11" width="8.1640625" style="1" customWidth="1"/>
    <col min="12" max="12" width="7.5" style="1" customWidth="1"/>
    <col min="13" max="14" width="6.5" style="1" customWidth="1"/>
    <col min="15" max="17" width="7.5" style="1" customWidth="1"/>
    <col min="18" max="18" width="5.5" style="1" customWidth="1"/>
    <col min="19" max="19" width="8" style="1" customWidth="1"/>
    <col min="20" max="20" width="8.1640625" style="1" customWidth="1"/>
    <col min="21" max="21" width="6" style="1" customWidth="1"/>
    <col min="22" max="22" width="6.33203125" style="1" bestFit="1" customWidth="1"/>
    <col min="23" max="23" width="6.6640625" style="1" customWidth="1"/>
    <col min="24" max="24" width="7.83203125" style="1" bestFit="1" customWidth="1"/>
    <col min="25" max="25" width="6" style="1" bestFit="1" customWidth="1"/>
    <col min="26" max="26" width="6.33203125" style="1" bestFit="1" customWidth="1"/>
    <col min="27" max="27" width="9.1640625" style="1" customWidth="1"/>
    <col min="28" max="28" width="9" style="1" customWidth="1"/>
    <col min="29" max="29" width="7.1640625" style="1" customWidth="1"/>
    <col min="30" max="30" width="7.6640625" style="1" customWidth="1"/>
    <col min="31" max="31" width="5.5" style="1" bestFit="1" customWidth="1"/>
    <col min="32" max="32" width="7.83203125" style="1" customWidth="1"/>
    <col min="33" max="33" width="4.5" style="1" customWidth="1"/>
    <col min="34" max="34" width="6.33203125" style="1" customWidth="1"/>
    <col min="35" max="35" width="12" style="1" customWidth="1"/>
    <col min="36" max="36" width="11.1640625" style="1" customWidth="1"/>
    <col min="37" max="16384" width="16.33203125" style="1"/>
  </cols>
  <sheetData>
    <row r="1" spans="1:36" ht="14.75" customHeight="1">
      <c r="A1" s="595" t="s">
        <v>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</row>
    <row r="2" spans="1:36" ht="13.25" customHeight="1">
      <c r="A2" s="596" t="s">
        <v>633</v>
      </c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9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114"/>
    </row>
    <row r="3" spans="1:36" ht="24" customHeight="1">
      <c r="A3" s="116" t="s">
        <v>67</v>
      </c>
      <c r="B3" s="158" t="s">
        <v>68</v>
      </c>
      <c r="C3" s="116" t="s">
        <v>90</v>
      </c>
      <c r="D3" s="116" t="s">
        <v>138</v>
      </c>
      <c r="E3" s="159"/>
      <c r="F3" s="116" t="s">
        <v>65</v>
      </c>
      <c r="G3" s="115"/>
      <c r="H3" s="115"/>
      <c r="I3" s="115"/>
      <c r="J3" s="116" t="s">
        <v>16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6" t="s">
        <v>40</v>
      </c>
      <c r="AA3" s="115"/>
      <c r="AB3" s="115"/>
      <c r="AC3" s="115"/>
      <c r="AD3" s="115"/>
      <c r="AE3" s="115"/>
      <c r="AF3" s="115"/>
      <c r="AG3" s="115"/>
      <c r="AH3" s="115"/>
      <c r="AI3" s="115"/>
      <c r="AJ3" s="116"/>
    </row>
    <row r="4" spans="1:36" ht="35.25" customHeight="1">
      <c r="A4" s="160"/>
      <c r="B4" s="161"/>
      <c r="C4" s="160"/>
      <c r="D4" s="160"/>
      <c r="E4" s="162"/>
      <c r="F4" s="160"/>
      <c r="G4" s="160" t="s">
        <v>71</v>
      </c>
      <c r="H4" s="160" t="s">
        <v>91</v>
      </c>
      <c r="I4" s="160" t="s">
        <v>31</v>
      </c>
      <c r="J4" s="160" t="s">
        <v>13</v>
      </c>
      <c r="K4" s="160" t="s">
        <v>500</v>
      </c>
      <c r="L4" s="160" t="s">
        <v>93</v>
      </c>
      <c r="M4" s="160" t="s">
        <v>489</v>
      </c>
      <c r="N4" s="160" t="s">
        <v>501</v>
      </c>
      <c r="O4" s="160" t="s">
        <v>637</v>
      </c>
      <c r="P4" s="160" t="s">
        <v>499</v>
      </c>
      <c r="Q4" s="160" t="s">
        <v>17</v>
      </c>
      <c r="R4" s="160" t="s">
        <v>22</v>
      </c>
      <c r="S4" s="160" t="s">
        <v>139</v>
      </c>
      <c r="T4" s="160" t="s">
        <v>95</v>
      </c>
      <c r="U4" s="160" t="s">
        <v>96</v>
      </c>
      <c r="V4" s="160" t="s">
        <v>37</v>
      </c>
      <c r="W4" s="160" t="s">
        <v>97</v>
      </c>
      <c r="X4" s="160" t="s">
        <v>21</v>
      </c>
      <c r="Y4" s="160" t="s">
        <v>39</v>
      </c>
      <c r="Z4" s="160" t="s">
        <v>99</v>
      </c>
      <c r="AA4" s="160" t="s">
        <v>100</v>
      </c>
      <c r="AB4" s="160" t="s">
        <v>101</v>
      </c>
      <c r="AC4" s="160" t="s">
        <v>102</v>
      </c>
      <c r="AD4" s="160" t="s">
        <v>103</v>
      </c>
      <c r="AE4" s="160" t="s">
        <v>512</v>
      </c>
      <c r="AF4" s="160" t="s">
        <v>498</v>
      </c>
      <c r="AG4" s="160" t="s">
        <v>50</v>
      </c>
      <c r="AH4" s="160" t="s">
        <v>488</v>
      </c>
      <c r="AI4" s="160" t="s">
        <v>104</v>
      </c>
      <c r="AJ4" s="160" t="s">
        <v>76</v>
      </c>
    </row>
    <row r="5" spans="1:36" ht="13.25" customHeight="1">
      <c r="A5" s="118" t="s">
        <v>105</v>
      </c>
      <c r="B5" s="117"/>
      <c r="C5" s="118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63"/>
    </row>
    <row r="6" spans="1:36" ht="13.25" customHeight="1">
      <c r="A6" s="489"/>
      <c r="B6" s="488"/>
      <c r="C6" s="489"/>
      <c r="D6" s="490"/>
      <c r="E6" s="491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492"/>
    </row>
    <row r="7" spans="1:36" ht="13.25" customHeight="1">
      <c r="A7" s="429">
        <v>45282</v>
      </c>
      <c r="B7" s="131"/>
      <c r="C7" s="164" t="s">
        <v>516</v>
      </c>
      <c r="D7" s="558">
        <v>20000</v>
      </c>
      <c r="E7" s="477"/>
      <c r="F7" s="125">
        <v>20000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492"/>
    </row>
    <row r="8" spans="1:36" ht="13.25" customHeight="1">
      <c r="A8" s="489"/>
      <c r="B8" s="488"/>
      <c r="C8" s="489"/>
      <c r="D8" s="490"/>
      <c r="E8" s="49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492"/>
    </row>
    <row r="9" spans="1:36" ht="13.25" customHeight="1">
      <c r="A9" s="123"/>
      <c r="B9" s="122"/>
      <c r="C9" s="123"/>
      <c r="D9" s="126"/>
      <c r="E9" s="127"/>
      <c r="F9" s="12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492"/>
    </row>
    <row r="10" spans="1:36" ht="13.25" customHeight="1">
      <c r="A10" s="164" t="s">
        <v>106</v>
      </c>
      <c r="B10" s="122"/>
      <c r="C10" s="123" t="s">
        <v>635</v>
      </c>
      <c r="D10" s="126"/>
      <c r="E10" s="127"/>
      <c r="F10" s="125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492"/>
    </row>
    <row r="11" spans="1:36" ht="13.25" customHeight="1">
      <c r="A11" s="429">
        <v>45379</v>
      </c>
      <c r="B11" s="131" t="s">
        <v>124</v>
      </c>
      <c r="C11" s="164" t="s">
        <v>517</v>
      </c>
      <c r="D11" s="490">
        <v>77.91</v>
      </c>
      <c r="E11" s="127"/>
      <c r="F11" s="125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>
        <f>D11</f>
        <v>77.91</v>
      </c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492"/>
    </row>
    <row r="12" spans="1:36" ht="13.25" customHeight="1">
      <c r="A12" s="429">
        <v>45379</v>
      </c>
      <c r="B12" s="131" t="s">
        <v>124</v>
      </c>
      <c r="C12" s="164" t="s">
        <v>518</v>
      </c>
      <c r="D12" s="490">
        <v>1388</v>
      </c>
      <c r="E12" s="127"/>
      <c r="F12" s="125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>
        <f>D12</f>
        <v>1388</v>
      </c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492"/>
    </row>
    <row r="13" spans="1:36" ht="13.25" customHeight="1">
      <c r="A13" s="429">
        <v>45376</v>
      </c>
      <c r="B13" s="131" t="s">
        <v>153</v>
      </c>
      <c r="C13" s="164" t="s">
        <v>519</v>
      </c>
      <c r="D13" s="490">
        <v>150</v>
      </c>
      <c r="E13" s="127"/>
      <c r="F13" s="125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>
        <f>D13</f>
        <v>150</v>
      </c>
      <c r="AG13" s="132"/>
      <c r="AH13" s="132"/>
      <c r="AI13" s="132"/>
      <c r="AJ13" s="492"/>
    </row>
    <row r="14" spans="1:36" ht="13.25" customHeight="1">
      <c r="A14" s="429">
        <v>45373</v>
      </c>
      <c r="B14" s="131" t="s">
        <v>124</v>
      </c>
      <c r="C14" s="164" t="s">
        <v>520</v>
      </c>
      <c r="D14" s="490">
        <v>697.5</v>
      </c>
      <c r="E14" s="127"/>
      <c r="F14" s="125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>
        <f>D14</f>
        <v>697.5</v>
      </c>
      <c r="AB14" s="132"/>
      <c r="AC14" s="132"/>
      <c r="AD14" s="132"/>
      <c r="AE14" s="132"/>
      <c r="AF14" s="132"/>
      <c r="AG14" s="132"/>
      <c r="AH14" s="132"/>
      <c r="AI14" s="132"/>
      <c r="AJ14" s="492"/>
    </row>
    <row r="15" spans="1:36" ht="13.25" customHeight="1">
      <c r="A15" s="429">
        <v>45359</v>
      </c>
      <c r="B15" s="131" t="s">
        <v>124</v>
      </c>
      <c r="C15" s="164" t="s">
        <v>529</v>
      </c>
      <c r="D15" s="490">
        <v>240</v>
      </c>
      <c r="E15" s="127"/>
      <c r="F15" s="125"/>
      <c r="G15" s="132"/>
      <c r="H15" s="132"/>
      <c r="I15" s="132"/>
      <c r="J15" s="132"/>
      <c r="K15" s="132"/>
      <c r="L15" s="132">
        <f>D15</f>
        <v>240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492"/>
    </row>
    <row r="16" spans="1:36" ht="13.25" customHeight="1">
      <c r="A16" s="429">
        <v>45359</v>
      </c>
      <c r="B16" s="131" t="s">
        <v>124</v>
      </c>
      <c r="C16" s="164" t="s">
        <v>530</v>
      </c>
      <c r="D16" s="490">
        <v>24.86</v>
      </c>
      <c r="E16" s="127"/>
      <c r="F16" s="125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>
        <f>D16</f>
        <v>24.86</v>
      </c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492"/>
    </row>
    <row r="17" spans="1:36" ht="13.25" customHeight="1">
      <c r="A17" s="429">
        <v>45356</v>
      </c>
      <c r="B17" s="131" t="s">
        <v>149</v>
      </c>
      <c r="C17" s="164" t="s">
        <v>636</v>
      </c>
      <c r="D17" s="490">
        <v>75</v>
      </c>
      <c r="E17" s="127"/>
      <c r="F17" s="125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>
        <f>D17</f>
        <v>75</v>
      </c>
      <c r="AE17" s="132"/>
      <c r="AF17" s="132"/>
      <c r="AG17" s="132"/>
      <c r="AH17" s="132"/>
      <c r="AI17" s="132"/>
      <c r="AJ17" s="492"/>
    </row>
    <row r="18" spans="1:36" ht="13.25" customHeight="1">
      <c r="A18" s="429">
        <v>45355</v>
      </c>
      <c r="B18" s="131" t="s">
        <v>153</v>
      </c>
      <c r="C18" s="164" t="s">
        <v>534</v>
      </c>
      <c r="D18" s="490">
        <v>331.2</v>
      </c>
      <c r="E18" s="127"/>
      <c r="F18" s="125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>
        <f>D18</f>
        <v>331.2</v>
      </c>
      <c r="AI18" s="132"/>
      <c r="AJ18" s="492"/>
    </row>
    <row r="19" spans="1:36" ht="13.25" customHeight="1">
      <c r="A19" s="429">
        <v>45341</v>
      </c>
      <c r="B19" s="131" t="s">
        <v>124</v>
      </c>
      <c r="C19" s="164" t="s">
        <v>540</v>
      </c>
      <c r="D19" s="490">
        <v>103.5</v>
      </c>
      <c r="E19" s="127"/>
      <c r="F19" s="125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>
        <f>D19</f>
        <v>103.5</v>
      </c>
      <c r="AB19" s="132"/>
      <c r="AC19" s="132"/>
      <c r="AD19" s="132"/>
      <c r="AE19" s="132"/>
      <c r="AF19" s="132"/>
      <c r="AG19" s="132"/>
      <c r="AH19" s="132"/>
      <c r="AI19" s="132"/>
      <c r="AJ19" s="492"/>
    </row>
    <row r="20" spans="1:36" ht="13.25" customHeight="1">
      <c r="A20" s="429">
        <v>45336</v>
      </c>
      <c r="B20" s="131" t="s">
        <v>153</v>
      </c>
      <c r="C20" s="164" t="s">
        <v>542</v>
      </c>
      <c r="D20" s="490">
        <v>68</v>
      </c>
      <c r="E20" s="127"/>
      <c r="F20" s="125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>
        <f>D20</f>
        <v>68</v>
      </c>
      <c r="AC20" s="132"/>
      <c r="AD20" s="132"/>
      <c r="AE20" s="132"/>
      <c r="AF20" s="132"/>
      <c r="AG20" s="132"/>
      <c r="AH20" s="132"/>
      <c r="AI20" s="132"/>
      <c r="AJ20" s="492"/>
    </row>
    <row r="21" spans="1:36" ht="13.25" customHeight="1">
      <c r="A21" s="429">
        <v>45327</v>
      </c>
      <c r="B21" s="131" t="s">
        <v>149</v>
      </c>
      <c r="C21" s="164" t="s">
        <v>546</v>
      </c>
      <c r="D21" s="490">
        <v>75</v>
      </c>
      <c r="E21" s="127"/>
      <c r="F21" s="125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>
        <f>D21</f>
        <v>75</v>
      </c>
      <c r="AE21" s="132"/>
      <c r="AF21" s="132"/>
      <c r="AG21" s="132"/>
      <c r="AH21" s="132"/>
      <c r="AI21" s="132"/>
      <c r="AJ21" s="492"/>
    </row>
    <row r="22" spans="1:36" ht="13.25" customHeight="1">
      <c r="A22" s="429">
        <v>45317</v>
      </c>
      <c r="B22" s="131" t="s">
        <v>124</v>
      </c>
      <c r="C22" s="164" t="s">
        <v>549</v>
      </c>
      <c r="D22" s="490">
        <v>190</v>
      </c>
      <c r="E22" s="127"/>
      <c r="F22" s="125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>
        <f>D22</f>
        <v>190</v>
      </c>
      <c r="AB22" s="132"/>
      <c r="AC22" s="132"/>
      <c r="AD22" s="132"/>
      <c r="AE22" s="132"/>
      <c r="AF22" s="132"/>
      <c r="AG22" s="132"/>
      <c r="AH22" s="132"/>
      <c r="AI22" s="132"/>
      <c r="AJ22" s="492"/>
    </row>
    <row r="23" spans="1:36" ht="13.25" customHeight="1">
      <c r="A23" s="429">
        <v>45300</v>
      </c>
      <c r="B23" s="131" t="s">
        <v>124</v>
      </c>
      <c r="C23" s="164" t="s">
        <v>496</v>
      </c>
      <c r="D23" s="490">
        <v>66</v>
      </c>
      <c r="E23" s="127"/>
      <c r="F23" s="125"/>
      <c r="G23" s="132"/>
      <c r="H23" s="132"/>
      <c r="I23" s="132"/>
      <c r="J23" s="132"/>
      <c r="K23" s="132"/>
      <c r="L23" s="132">
        <f>D23</f>
        <v>66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492"/>
    </row>
    <row r="24" spans="1:36" ht="13.25" customHeight="1">
      <c r="A24" s="429">
        <v>45296</v>
      </c>
      <c r="B24" s="131" t="s">
        <v>149</v>
      </c>
      <c r="C24" s="164" t="s">
        <v>554</v>
      </c>
      <c r="D24" s="490">
        <v>75</v>
      </c>
      <c r="E24" s="127"/>
      <c r="F24" s="125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>
        <f>D24</f>
        <v>75</v>
      </c>
      <c r="AE24" s="132"/>
      <c r="AF24" s="132"/>
      <c r="AG24" s="132"/>
      <c r="AH24" s="132"/>
      <c r="AI24" s="132"/>
      <c r="AJ24" s="492"/>
    </row>
    <row r="25" spans="1:36" ht="13.25" customHeight="1">
      <c r="A25" s="429">
        <v>45293</v>
      </c>
      <c r="B25" s="131" t="s">
        <v>149</v>
      </c>
      <c r="C25" s="164" t="s">
        <v>555</v>
      </c>
      <c r="D25" s="490">
        <v>50</v>
      </c>
      <c r="E25" s="127"/>
      <c r="F25" s="125"/>
      <c r="G25" s="132"/>
      <c r="H25" s="132"/>
      <c r="I25" s="132">
        <f>D25</f>
        <v>50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492"/>
    </row>
    <row r="26" spans="1:36" ht="13.25" customHeight="1">
      <c r="A26" s="429">
        <v>45271</v>
      </c>
      <c r="B26" s="131" t="s">
        <v>124</v>
      </c>
      <c r="C26" s="164" t="s">
        <v>558</v>
      </c>
      <c r="D26" s="490">
        <v>471.5</v>
      </c>
      <c r="E26" s="127"/>
      <c r="F26" s="125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>
        <f>D26</f>
        <v>471.5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492"/>
    </row>
    <row r="27" spans="1:36" ht="13.25" customHeight="1">
      <c r="A27" s="429">
        <v>45265</v>
      </c>
      <c r="B27" s="131" t="s">
        <v>149</v>
      </c>
      <c r="C27" s="164" t="s">
        <v>560</v>
      </c>
      <c r="D27" s="490">
        <v>75</v>
      </c>
      <c r="E27" s="127"/>
      <c r="F27" s="125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>
        <f>D27</f>
        <v>75</v>
      </c>
      <c r="AE27" s="132"/>
      <c r="AF27" s="132"/>
      <c r="AG27" s="132"/>
      <c r="AH27" s="132"/>
      <c r="AI27" s="132"/>
      <c r="AJ27" s="492"/>
    </row>
    <row r="28" spans="1:36" ht="13.25" customHeight="1">
      <c r="A28" s="429">
        <v>45258</v>
      </c>
      <c r="B28" s="131" t="s">
        <v>124</v>
      </c>
      <c r="C28" s="164" t="s">
        <v>562</v>
      </c>
      <c r="D28" s="490">
        <v>164.7</v>
      </c>
      <c r="E28" s="127"/>
      <c r="F28" s="125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>
        <f t="shared" ref="AA28:AA29" si="0">D28</f>
        <v>164.7</v>
      </c>
      <c r="AB28" s="132"/>
      <c r="AC28" s="132"/>
      <c r="AD28" s="132"/>
      <c r="AE28" s="132"/>
      <c r="AF28" s="132"/>
      <c r="AG28" s="132"/>
      <c r="AH28" s="132"/>
      <c r="AI28" s="132"/>
      <c r="AJ28" s="492"/>
    </row>
    <row r="29" spans="1:36" ht="13.25" customHeight="1">
      <c r="A29" s="429">
        <v>45251</v>
      </c>
      <c r="B29" s="131" t="s">
        <v>124</v>
      </c>
      <c r="C29" s="164" t="s">
        <v>563</v>
      </c>
      <c r="D29" s="490">
        <v>643.5</v>
      </c>
      <c r="E29" s="127"/>
      <c r="F29" s="125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>
        <f t="shared" si="0"/>
        <v>643.5</v>
      </c>
      <c r="AB29" s="132"/>
      <c r="AC29" s="132"/>
      <c r="AD29" s="132"/>
      <c r="AE29" s="132"/>
      <c r="AF29" s="132"/>
      <c r="AG29" s="132"/>
      <c r="AH29" s="132"/>
      <c r="AI29" s="132"/>
      <c r="AJ29" s="492"/>
    </row>
    <row r="30" spans="1:36" ht="13.25" customHeight="1">
      <c r="A30" s="429">
        <v>45251</v>
      </c>
      <c r="B30" s="131" t="s">
        <v>124</v>
      </c>
      <c r="C30" s="164" t="s">
        <v>564</v>
      </c>
      <c r="D30" s="490">
        <v>205.38</v>
      </c>
      <c r="E30" s="127"/>
      <c r="F30" s="125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>
        <f>D30</f>
        <v>205.38</v>
      </c>
      <c r="AC30" s="132"/>
      <c r="AD30" s="132"/>
      <c r="AE30" s="132"/>
      <c r="AF30" s="132"/>
      <c r="AG30" s="132"/>
      <c r="AH30" s="132"/>
      <c r="AI30" s="132"/>
      <c r="AJ30" s="492"/>
    </row>
    <row r="31" spans="1:36" ht="13.25" customHeight="1">
      <c r="A31" s="429">
        <v>45236</v>
      </c>
      <c r="B31" s="131" t="s">
        <v>149</v>
      </c>
      <c r="C31" s="164" t="s">
        <v>567</v>
      </c>
      <c r="D31" s="490">
        <v>75</v>
      </c>
      <c r="E31" s="127"/>
      <c r="F31" s="125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>
        <f>D31</f>
        <v>75</v>
      </c>
      <c r="AE31" s="132"/>
      <c r="AF31" s="132"/>
      <c r="AG31" s="132"/>
      <c r="AH31" s="132"/>
      <c r="AI31" s="132"/>
      <c r="AJ31" s="492"/>
    </row>
    <row r="32" spans="1:36" ht="13.25" customHeight="1">
      <c r="A32" s="429">
        <v>45222</v>
      </c>
      <c r="B32" s="131" t="s">
        <v>124</v>
      </c>
      <c r="C32" s="164" t="s">
        <v>568</v>
      </c>
      <c r="D32" s="490">
        <v>1000</v>
      </c>
      <c r="E32" s="127"/>
      <c r="F32" s="125"/>
      <c r="G32" s="132"/>
      <c r="H32" s="132"/>
      <c r="I32" s="132"/>
      <c r="J32" s="132"/>
      <c r="K32" s="132">
        <f>D32</f>
        <v>1000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492"/>
    </row>
    <row r="33" spans="1:36" ht="13.25" customHeight="1">
      <c r="A33" s="429">
        <v>45212</v>
      </c>
      <c r="B33" s="131" t="s">
        <v>124</v>
      </c>
      <c r="C33" s="164" t="s">
        <v>569</v>
      </c>
      <c r="D33" s="490">
        <v>110</v>
      </c>
      <c r="E33" s="127"/>
      <c r="F33" s="125"/>
      <c r="G33" s="132"/>
      <c r="H33" s="132"/>
      <c r="I33" s="132"/>
      <c r="J33" s="132"/>
      <c r="K33" s="132">
        <f>D33</f>
        <v>110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492"/>
    </row>
    <row r="34" spans="1:36" ht="13.25" customHeight="1">
      <c r="A34" s="429">
        <v>45204</v>
      </c>
      <c r="B34" s="131" t="s">
        <v>149</v>
      </c>
      <c r="C34" s="164" t="s">
        <v>570</v>
      </c>
      <c r="D34" s="490">
        <v>75</v>
      </c>
      <c r="E34" s="127"/>
      <c r="F34" s="125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>
        <f>D34</f>
        <v>75</v>
      </c>
      <c r="AE34" s="132"/>
      <c r="AF34" s="132"/>
      <c r="AG34" s="132"/>
      <c r="AH34" s="132"/>
      <c r="AI34" s="132"/>
      <c r="AJ34" s="492"/>
    </row>
    <row r="35" spans="1:36" ht="13.25" customHeight="1">
      <c r="A35" s="429">
        <v>45203</v>
      </c>
      <c r="B35" s="131" t="s">
        <v>153</v>
      </c>
      <c r="C35" s="164" t="s">
        <v>571</v>
      </c>
      <c r="D35" s="490">
        <v>21</v>
      </c>
      <c r="E35" s="127"/>
      <c r="F35" s="125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>
        <f>D35</f>
        <v>21</v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492"/>
    </row>
    <row r="36" spans="1:36" ht="13.25" customHeight="1">
      <c r="A36" s="429">
        <v>45201</v>
      </c>
      <c r="B36" s="131" t="s">
        <v>149</v>
      </c>
      <c r="C36" s="164" t="s">
        <v>572</v>
      </c>
      <c r="D36" s="490">
        <v>50</v>
      </c>
      <c r="E36" s="127"/>
      <c r="F36" s="125"/>
      <c r="G36" s="132"/>
      <c r="H36" s="132"/>
      <c r="I36" s="132">
        <f>D36</f>
        <v>50</v>
      </c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492"/>
    </row>
    <row r="37" spans="1:36" ht="13.25" customHeight="1">
      <c r="A37" s="429">
        <v>45189</v>
      </c>
      <c r="B37" s="131" t="s">
        <v>124</v>
      </c>
      <c r="C37" s="164" t="s">
        <v>573</v>
      </c>
      <c r="D37" s="490">
        <v>42.3</v>
      </c>
      <c r="E37" s="127"/>
      <c r="F37" s="125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>
        <f>D37</f>
        <v>42.3</v>
      </c>
      <c r="AB37" s="132"/>
      <c r="AC37" s="132"/>
      <c r="AD37" s="132"/>
      <c r="AE37" s="132"/>
      <c r="AF37" s="132"/>
      <c r="AG37" s="132"/>
      <c r="AH37" s="132"/>
      <c r="AI37" s="132"/>
      <c r="AJ37" s="492"/>
    </row>
    <row r="38" spans="1:36" ht="13.25" customHeight="1">
      <c r="A38" s="429">
        <v>45189</v>
      </c>
      <c r="B38" s="131" t="s">
        <v>124</v>
      </c>
      <c r="C38" s="164" t="s">
        <v>574</v>
      </c>
      <c r="D38" s="490">
        <v>77.5</v>
      </c>
      <c r="E38" s="127"/>
      <c r="F38" s="125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>
        <f>D38</f>
        <v>77.5</v>
      </c>
      <c r="AC38" s="132"/>
      <c r="AD38" s="132"/>
      <c r="AE38" s="132"/>
      <c r="AF38" s="132"/>
      <c r="AG38" s="132"/>
      <c r="AH38" s="132"/>
      <c r="AI38" s="132"/>
      <c r="AJ38" s="492"/>
    </row>
    <row r="39" spans="1:36" ht="13.25" customHeight="1">
      <c r="A39" s="429">
        <v>45184</v>
      </c>
      <c r="B39" s="131" t="s">
        <v>124</v>
      </c>
      <c r="C39" s="164" t="s">
        <v>579</v>
      </c>
      <c r="D39" s="490">
        <v>43</v>
      </c>
      <c r="E39" s="127"/>
      <c r="F39" s="125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>
        <f>D39</f>
        <v>43</v>
      </c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492"/>
    </row>
    <row r="40" spans="1:36" ht="13.25" customHeight="1">
      <c r="A40" s="429">
        <v>45180</v>
      </c>
      <c r="B40" s="131" t="s">
        <v>124</v>
      </c>
      <c r="C40" s="164" t="s">
        <v>582</v>
      </c>
      <c r="D40" s="490">
        <v>45</v>
      </c>
      <c r="E40" s="127"/>
      <c r="F40" s="125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>
        <f>D40</f>
        <v>45</v>
      </c>
      <c r="AB40" s="132"/>
      <c r="AC40" s="132"/>
      <c r="AD40" s="132"/>
      <c r="AE40" s="132"/>
      <c r="AF40" s="132"/>
      <c r="AG40" s="132"/>
      <c r="AH40" s="132"/>
      <c r="AI40" s="132"/>
      <c r="AJ40" s="492"/>
    </row>
    <row r="41" spans="1:36" ht="13.25" customHeight="1">
      <c r="A41" s="429">
        <v>45174</v>
      </c>
      <c r="B41" s="131" t="s">
        <v>149</v>
      </c>
      <c r="C41" s="164" t="s">
        <v>584</v>
      </c>
      <c r="D41" s="490">
        <v>75</v>
      </c>
      <c r="E41" s="127"/>
      <c r="F41" s="125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>
        <f>D41</f>
        <v>75</v>
      </c>
      <c r="AE41" s="132"/>
      <c r="AF41" s="132"/>
      <c r="AG41" s="132"/>
      <c r="AH41" s="132"/>
      <c r="AI41" s="132"/>
      <c r="AJ41" s="492"/>
    </row>
    <row r="42" spans="1:36" ht="13.25" customHeight="1">
      <c r="A42" s="429">
        <v>45167</v>
      </c>
      <c r="B42" s="131" t="s">
        <v>124</v>
      </c>
      <c r="C42" s="164" t="s">
        <v>585</v>
      </c>
      <c r="D42" s="490">
        <v>40.5</v>
      </c>
      <c r="E42" s="127"/>
      <c r="F42" s="125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>
        <f>D42</f>
        <v>40.5</v>
      </c>
      <c r="AB42" s="132"/>
      <c r="AC42" s="132"/>
      <c r="AD42" s="132"/>
      <c r="AE42" s="132"/>
      <c r="AF42" s="132"/>
      <c r="AG42" s="132"/>
      <c r="AH42" s="132"/>
      <c r="AI42" s="132"/>
      <c r="AJ42" s="492"/>
    </row>
    <row r="43" spans="1:36" ht="13.25" customHeight="1">
      <c r="A43" s="429">
        <v>45167</v>
      </c>
      <c r="B43" s="131" t="s">
        <v>124</v>
      </c>
      <c r="C43" s="164" t="s">
        <v>586</v>
      </c>
      <c r="D43" s="490">
        <v>132.04</v>
      </c>
      <c r="E43" s="127"/>
      <c r="F43" s="125"/>
      <c r="G43" s="132"/>
      <c r="H43" s="132"/>
      <c r="I43" s="132"/>
      <c r="J43" s="132"/>
      <c r="K43" s="132"/>
      <c r="L43" s="132"/>
      <c r="M43" s="132"/>
      <c r="N43" s="132"/>
      <c r="O43" s="132">
        <f>D43</f>
        <v>132.04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492"/>
    </row>
    <row r="44" spans="1:36" ht="13.25" customHeight="1">
      <c r="A44" s="429">
        <v>45155</v>
      </c>
      <c r="B44" s="131" t="s">
        <v>124</v>
      </c>
      <c r="C44" s="164" t="s">
        <v>589</v>
      </c>
      <c r="D44" s="490">
        <v>200</v>
      </c>
      <c r="E44" s="127"/>
      <c r="F44" s="125"/>
      <c r="G44" s="132"/>
      <c r="H44" s="132"/>
      <c r="I44" s="132"/>
      <c r="J44" s="132"/>
      <c r="K44" s="132"/>
      <c r="L44" s="132"/>
      <c r="M44" s="132"/>
      <c r="N44" s="132"/>
      <c r="O44" s="132">
        <f>D44</f>
        <v>200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492"/>
    </row>
    <row r="45" spans="1:36" ht="13.25" customHeight="1">
      <c r="A45" s="429">
        <v>45146</v>
      </c>
      <c r="B45" s="131" t="s">
        <v>124</v>
      </c>
      <c r="C45" s="164" t="s">
        <v>590</v>
      </c>
      <c r="D45" s="490">
        <v>176</v>
      </c>
      <c r="E45" s="127"/>
      <c r="F45" s="125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>
        <f>D45</f>
        <v>176</v>
      </c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492"/>
    </row>
    <row r="46" spans="1:36" ht="13.25" customHeight="1">
      <c r="A46" s="429">
        <v>45145</v>
      </c>
      <c r="B46" s="131" t="s">
        <v>149</v>
      </c>
      <c r="C46" s="164" t="s">
        <v>591</v>
      </c>
      <c r="D46" s="490">
        <v>75</v>
      </c>
      <c r="E46" s="127"/>
      <c r="F46" s="125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>
        <f>D46</f>
        <v>75</v>
      </c>
      <c r="AE46" s="132"/>
      <c r="AF46" s="132"/>
      <c r="AG46" s="132"/>
      <c r="AH46" s="132"/>
      <c r="AI46" s="132"/>
      <c r="AJ46" s="492"/>
    </row>
    <row r="47" spans="1:36" ht="13.25" customHeight="1">
      <c r="A47" s="429">
        <v>45118</v>
      </c>
      <c r="B47" s="131" t="s">
        <v>124</v>
      </c>
      <c r="C47" s="164" t="s">
        <v>595</v>
      </c>
      <c r="D47" s="490">
        <v>177.68</v>
      </c>
      <c r="E47" s="127"/>
      <c r="F47" s="125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>
        <f>D47</f>
        <v>177.68</v>
      </c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492"/>
    </row>
    <row r="48" spans="1:36" ht="13.25" customHeight="1">
      <c r="A48" s="429">
        <v>45112</v>
      </c>
      <c r="B48" s="131" t="s">
        <v>149</v>
      </c>
      <c r="C48" s="164" t="s">
        <v>596</v>
      </c>
      <c r="D48" s="490">
        <v>75</v>
      </c>
      <c r="E48" s="127"/>
      <c r="F48" s="125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>
        <f>D48</f>
        <v>75</v>
      </c>
      <c r="AE48" s="132"/>
      <c r="AF48" s="132"/>
      <c r="AG48" s="132"/>
      <c r="AH48" s="132"/>
      <c r="AI48" s="132"/>
      <c r="AJ48" s="492"/>
    </row>
    <row r="49" spans="1:36" ht="13.25" customHeight="1">
      <c r="A49" s="429">
        <v>45110</v>
      </c>
      <c r="B49" s="131" t="s">
        <v>149</v>
      </c>
      <c r="C49" s="164" t="s">
        <v>597</v>
      </c>
      <c r="D49" s="490">
        <v>50</v>
      </c>
      <c r="E49" s="127"/>
      <c r="F49" s="125"/>
      <c r="G49" s="132"/>
      <c r="H49" s="132"/>
      <c r="I49" s="132">
        <f>D49</f>
        <v>50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492"/>
    </row>
    <row r="50" spans="1:36" ht="13.25" customHeight="1">
      <c r="A50" s="429">
        <v>45107</v>
      </c>
      <c r="B50" s="131" t="s">
        <v>124</v>
      </c>
      <c r="C50" s="164" t="s">
        <v>598</v>
      </c>
      <c r="D50" s="490">
        <v>173.77</v>
      </c>
      <c r="E50" s="127"/>
      <c r="F50" s="125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>
        <v>20</v>
      </c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>
        <v>57</v>
      </c>
      <c r="AC50" s="132"/>
      <c r="AD50" s="132"/>
      <c r="AE50" s="132">
        <v>4.5</v>
      </c>
      <c r="AF50" s="132"/>
      <c r="AG50" s="132"/>
      <c r="AH50" s="132">
        <v>92.27</v>
      </c>
      <c r="AI50" s="132"/>
      <c r="AJ50" s="492"/>
    </row>
    <row r="51" spans="1:36" ht="13.25" customHeight="1">
      <c r="A51" s="429">
        <v>45091</v>
      </c>
      <c r="B51" s="131" t="s">
        <v>124</v>
      </c>
      <c r="C51" s="164" t="s">
        <v>599</v>
      </c>
      <c r="D51" s="490">
        <v>24.84</v>
      </c>
      <c r="E51" s="127"/>
      <c r="F51" s="125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>
        <f>D51</f>
        <v>24.84</v>
      </c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492"/>
    </row>
    <row r="52" spans="1:36" ht="13.25" customHeight="1">
      <c r="A52" s="429">
        <v>45090</v>
      </c>
      <c r="B52" s="131" t="s">
        <v>124</v>
      </c>
      <c r="C52" s="164" t="s">
        <v>606</v>
      </c>
      <c r="D52" s="490">
        <v>600</v>
      </c>
      <c r="E52" s="127"/>
      <c r="F52" s="125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>
        <f>D52</f>
        <v>600</v>
      </c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492"/>
    </row>
    <row r="53" spans="1:36" ht="13.25" customHeight="1">
      <c r="A53" s="429">
        <v>45082</v>
      </c>
      <c r="B53" s="131" t="s">
        <v>149</v>
      </c>
      <c r="C53" s="164" t="s">
        <v>608</v>
      </c>
      <c r="D53" s="490">
        <v>75</v>
      </c>
      <c r="E53" s="127"/>
      <c r="F53" s="125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>
        <f>D53</f>
        <v>75</v>
      </c>
      <c r="AE53" s="132"/>
      <c r="AF53" s="132"/>
      <c r="AG53" s="132"/>
      <c r="AH53" s="132"/>
      <c r="AI53" s="132"/>
      <c r="AJ53" s="492"/>
    </row>
    <row r="54" spans="1:36" ht="13.25" customHeight="1">
      <c r="A54" s="429">
        <v>45082</v>
      </c>
      <c r="B54" s="131" t="s">
        <v>153</v>
      </c>
      <c r="C54" s="164" t="s">
        <v>609</v>
      </c>
      <c r="D54" s="490">
        <v>448</v>
      </c>
      <c r="E54" s="127"/>
      <c r="F54" s="125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>
        <f>D54</f>
        <v>448</v>
      </c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492"/>
    </row>
    <row r="55" spans="1:36" ht="13.25" customHeight="1">
      <c r="A55" s="429">
        <v>45079</v>
      </c>
      <c r="B55" s="131" t="s">
        <v>124</v>
      </c>
      <c r="C55" s="164" t="s">
        <v>610</v>
      </c>
      <c r="D55" s="490">
        <v>226.28</v>
      </c>
      <c r="E55" s="127"/>
      <c r="F55" s="125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>
        <f>D55</f>
        <v>226.28</v>
      </c>
      <c r="AC55" s="132"/>
      <c r="AD55" s="132"/>
      <c r="AE55" s="132"/>
      <c r="AF55" s="132"/>
      <c r="AG55" s="132"/>
      <c r="AH55" s="132"/>
      <c r="AI55" s="132"/>
      <c r="AJ55" s="492"/>
    </row>
    <row r="56" spans="1:36" ht="13.25" customHeight="1">
      <c r="A56" s="429">
        <v>45079</v>
      </c>
      <c r="B56" s="131" t="s">
        <v>124</v>
      </c>
      <c r="C56" s="164" t="s">
        <v>611</v>
      </c>
      <c r="D56" s="490">
        <v>281.7</v>
      </c>
      <c r="E56" s="127"/>
      <c r="F56" s="125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>
        <f>D56</f>
        <v>281.7</v>
      </c>
      <c r="AB56" s="132"/>
      <c r="AC56" s="132"/>
      <c r="AD56" s="132"/>
      <c r="AE56" s="132"/>
      <c r="AF56" s="132"/>
      <c r="AG56" s="132"/>
      <c r="AH56" s="132"/>
      <c r="AI56" s="132"/>
      <c r="AJ56" s="492"/>
    </row>
    <row r="57" spans="1:36" ht="13.25" customHeight="1">
      <c r="A57" s="429">
        <v>45072</v>
      </c>
      <c r="B57" s="131" t="s">
        <v>153</v>
      </c>
      <c r="C57" s="164" t="s">
        <v>612</v>
      </c>
      <c r="D57" s="490">
        <v>21</v>
      </c>
      <c r="E57" s="127"/>
      <c r="F57" s="125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>
        <f>D57</f>
        <v>21</v>
      </c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492"/>
    </row>
    <row r="58" spans="1:36" ht="13.25" customHeight="1">
      <c r="A58" s="429">
        <v>45072</v>
      </c>
      <c r="B58" s="131" t="s">
        <v>124</v>
      </c>
      <c r="C58" s="164" t="s">
        <v>613</v>
      </c>
      <c r="D58" s="490">
        <v>79.069999999999993</v>
      </c>
      <c r="E58" s="127"/>
      <c r="F58" s="125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>
        <f>D58</f>
        <v>79.069999999999993</v>
      </c>
      <c r="AI58" s="132"/>
      <c r="AJ58" s="492"/>
    </row>
    <row r="59" spans="1:36" ht="13.25" customHeight="1">
      <c r="A59" s="429">
        <v>45051</v>
      </c>
      <c r="B59" s="131" t="s">
        <v>149</v>
      </c>
      <c r="C59" s="164" t="s">
        <v>619</v>
      </c>
      <c r="D59" s="490">
        <v>75</v>
      </c>
      <c r="E59" s="127"/>
      <c r="F59" s="125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>
        <f>D59</f>
        <v>75</v>
      </c>
      <c r="AE59" s="132"/>
      <c r="AF59" s="132"/>
      <c r="AG59" s="132"/>
      <c r="AH59" s="132"/>
      <c r="AI59" s="132"/>
      <c r="AJ59" s="492"/>
    </row>
    <row r="60" spans="1:36" ht="13.25" customHeight="1">
      <c r="A60" s="429">
        <v>45048</v>
      </c>
      <c r="B60" s="131" t="s">
        <v>124</v>
      </c>
      <c r="C60" s="164" t="s">
        <v>620</v>
      </c>
      <c r="D60" s="490">
        <v>72.5</v>
      </c>
      <c r="E60" s="127"/>
      <c r="F60" s="125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>
        <f>D60</f>
        <v>72.5</v>
      </c>
      <c r="AB60" s="132"/>
      <c r="AC60" s="132"/>
      <c r="AD60" s="132"/>
      <c r="AE60" s="132"/>
      <c r="AF60" s="132"/>
      <c r="AG60" s="132"/>
      <c r="AH60" s="132"/>
      <c r="AI60" s="132"/>
      <c r="AJ60" s="492"/>
    </row>
    <row r="61" spans="1:36" ht="13.25" customHeight="1">
      <c r="A61" s="429">
        <v>45043</v>
      </c>
      <c r="B61" s="131" t="s">
        <v>124</v>
      </c>
      <c r="C61" s="164" t="s">
        <v>621</v>
      </c>
      <c r="D61" s="490">
        <v>215.91</v>
      </c>
      <c r="E61" s="127"/>
      <c r="F61" s="125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>
        <f>D61</f>
        <v>215.91</v>
      </c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492"/>
    </row>
    <row r="62" spans="1:36" ht="13.25" customHeight="1">
      <c r="A62" s="429">
        <v>45021</v>
      </c>
      <c r="B62" s="131" t="s">
        <v>149</v>
      </c>
      <c r="C62" s="164" t="s">
        <v>623</v>
      </c>
      <c r="D62" s="490">
        <v>75</v>
      </c>
      <c r="E62" s="127"/>
      <c r="F62" s="125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>
        <f>D62</f>
        <v>75</v>
      </c>
      <c r="AE62" s="132"/>
      <c r="AF62" s="132"/>
      <c r="AG62" s="132"/>
      <c r="AH62" s="132"/>
      <c r="AI62" s="132"/>
      <c r="AJ62" s="492"/>
    </row>
    <row r="63" spans="1:36" ht="13.25" customHeight="1">
      <c r="A63" s="429">
        <v>45021</v>
      </c>
      <c r="B63" s="131" t="s">
        <v>124</v>
      </c>
      <c r="C63" s="164" t="s">
        <v>624</v>
      </c>
      <c r="D63" s="490">
        <v>12</v>
      </c>
      <c r="E63" s="127"/>
      <c r="F63" s="125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f>D63</f>
        <v>12</v>
      </c>
      <c r="AI63" s="132"/>
      <c r="AJ63" s="492"/>
    </row>
    <row r="64" spans="1:36" ht="13.25" customHeight="1">
      <c r="A64" s="429">
        <v>45019</v>
      </c>
      <c r="B64" s="131" t="s">
        <v>149</v>
      </c>
      <c r="C64" s="164" t="s">
        <v>625</v>
      </c>
      <c r="D64" s="490">
        <v>50</v>
      </c>
      <c r="E64" s="127"/>
      <c r="F64" s="125"/>
      <c r="G64" s="132"/>
      <c r="H64" s="132"/>
      <c r="I64" s="132">
        <f>D64</f>
        <v>50</v>
      </c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492"/>
    </row>
    <row r="65" spans="1:36" ht="13.25" customHeight="1">
      <c r="A65" s="429">
        <v>45016</v>
      </c>
      <c r="B65" s="131" t="s">
        <v>124</v>
      </c>
      <c r="C65" s="164" t="s">
        <v>626</v>
      </c>
      <c r="D65" s="490">
        <v>15.6</v>
      </c>
      <c r="E65" s="127"/>
      <c r="F65" s="125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>
        <f>D65</f>
        <v>15.6</v>
      </c>
      <c r="AF65" s="132"/>
      <c r="AG65" s="132"/>
      <c r="AH65" s="132"/>
      <c r="AI65" s="132"/>
      <c r="AJ65" s="492"/>
    </row>
    <row r="66" spans="1:36" ht="13.25" customHeight="1">
      <c r="A66" s="429"/>
      <c r="B66" s="131"/>
      <c r="C66" s="164"/>
      <c r="D66" s="490"/>
      <c r="E66" s="127"/>
      <c r="F66" s="125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492"/>
    </row>
    <row r="67" spans="1:36" ht="13.25" customHeight="1">
      <c r="A67" s="429"/>
      <c r="B67" s="131"/>
      <c r="C67" s="164"/>
      <c r="D67" s="490"/>
      <c r="E67" s="127"/>
      <c r="F67" s="125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492"/>
    </row>
    <row r="68" spans="1:36" ht="13.25" customHeight="1">
      <c r="A68" s="429"/>
      <c r="B68" s="131"/>
      <c r="C68" s="164"/>
      <c r="D68" s="126"/>
      <c r="E68" s="165"/>
      <c r="F68" s="125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492"/>
    </row>
    <row r="69" spans="1:36" ht="13.25" customHeight="1">
      <c r="A69" s="429"/>
      <c r="B69" s="131"/>
      <c r="C69" s="164"/>
      <c r="D69" s="126"/>
      <c r="E69" s="16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8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</row>
    <row r="70" spans="1:36" s="570" customFormat="1" ht="12.25" customHeight="1">
      <c r="A70" s="564"/>
      <c r="B70" s="564"/>
      <c r="C70" s="565"/>
      <c r="D70" s="566">
        <f>SUM(D7:D69)</f>
        <v>30157.74</v>
      </c>
      <c r="E70" s="567"/>
      <c r="F70" s="568">
        <f t="shared" ref="F70:AJ70" si="1">SUM(F5:F67)</f>
        <v>20000</v>
      </c>
      <c r="G70" s="568">
        <f t="shared" si="1"/>
        <v>0</v>
      </c>
      <c r="H70" s="568">
        <f t="shared" si="1"/>
        <v>0</v>
      </c>
      <c r="I70" s="569">
        <f t="shared" si="1"/>
        <v>200</v>
      </c>
      <c r="J70" s="569">
        <f t="shared" si="1"/>
        <v>0</v>
      </c>
      <c r="K70" s="569">
        <f t="shared" si="1"/>
        <v>1110</v>
      </c>
      <c r="L70" s="569">
        <f t="shared" si="1"/>
        <v>306</v>
      </c>
      <c r="M70" s="569">
        <f t="shared" si="1"/>
        <v>0</v>
      </c>
      <c r="N70" s="569">
        <f t="shared" si="1"/>
        <v>0</v>
      </c>
      <c r="O70" s="569">
        <f t="shared" si="1"/>
        <v>332.03999999999996</v>
      </c>
      <c r="P70" s="569">
        <f t="shared" si="1"/>
        <v>0</v>
      </c>
      <c r="Q70" s="569">
        <f t="shared" si="1"/>
        <v>1235.43</v>
      </c>
      <c r="R70" s="569">
        <f t="shared" si="1"/>
        <v>43</v>
      </c>
      <c r="S70" s="569">
        <f t="shared" si="1"/>
        <v>0</v>
      </c>
      <c r="T70" s="569">
        <f t="shared" si="1"/>
        <v>0</v>
      </c>
      <c r="U70" s="569">
        <f t="shared" si="1"/>
        <v>0</v>
      </c>
      <c r="V70" s="569">
        <f t="shared" si="1"/>
        <v>492.5</v>
      </c>
      <c r="W70" s="569">
        <f t="shared" si="1"/>
        <v>24.86</v>
      </c>
      <c r="X70" s="569">
        <f t="shared" si="1"/>
        <v>1465.91</v>
      </c>
      <c r="Y70" s="569">
        <f t="shared" si="1"/>
        <v>448</v>
      </c>
      <c r="Z70" s="569">
        <f t="shared" si="1"/>
        <v>0</v>
      </c>
      <c r="AA70" s="569">
        <f t="shared" si="1"/>
        <v>2281.1999999999998</v>
      </c>
      <c r="AB70" s="569">
        <f t="shared" si="1"/>
        <v>634.16</v>
      </c>
      <c r="AC70" s="569">
        <f t="shared" si="1"/>
        <v>0</v>
      </c>
      <c r="AD70" s="569">
        <f t="shared" si="1"/>
        <v>900</v>
      </c>
      <c r="AE70" s="569">
        <f t="shared" si="1"/>
        <v>20.100000000000001</v>
      </c>
      <c r="AF70" s="569">
        <f t="shared" si="1"/>
        <v>150</v>
      </c>
      <c r="AG70" s="569">
        <f t="shared" si="1"/>
        <v>0</v>
      </c>
      <c r="AH70" s="569">
        <f t="shared" si="1"/>
        <v>514.54</v>
      </c>
      <c r="AI70" s="569">
        <f t="shared" si="1"/>
        <v>0</v>
      </c>
      <c r="AJ70" s="569">
        <f t="shared" si="1"/>
        <v>0</v>
      </c>
    </row>
    <row r="71" spans="1:36" ht="13.25" customHeight="1">
      <c r="A71" s="429"/>
      <c r="B71" s="131"/>
      <c r="C71" s="164"/>
      <c r="D71" s="126"/>
      <c r="E71" s="16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8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</row>
    <row r="72" spans="1:36" ht="13.25" customHeight="1">
      <c r="A72" s="429"/>
      <c r="B72" s="131"/>
      <c r="C72" s="164"/>
      <c r="D72" s="126"/>
      <c r="E72" s="545" t="s">
        <v>490</v>
      </c>
      <c r="F72" s="546">
        <f>SUM(F70:AP70)</f>
        <v>30157.74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8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</row>
    <row r="73" spans="1:36" ht="13.25" customHeight="1">
      <c r="A73" s="429"/>
      <c r="B73" s="131"/>
      <c r="C73" s="164"/>
      <c r="D73" s="126"/>
      <c r="E73" s="545" t="s">
        <v>502</v>
      </c>
      <c r="F73" s="546">
        <f>F72-D70</f>
        <v>0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8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</row>
    <row r="74" spans="1:36" ht="13.25" customHeight="1">
      <c r="A74" s="429"/>
      <c r="B74" s="131"/>
      <c r="C74" s="164"/>
      <c r="D74" s="126"/>
      <c r="E74" s="16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8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</row>
    <row r="75" spans="1:36" ht="13.25" customHeight="1">
      <c r="A75" s="429"/>
      <c r="B75" s="131"/>
      <c r="C75" s="164"/>
      <c r="D75" s="126"/>
      <c r="E75" s="16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8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</row>
    <row r="76" spans="1:36" ht="13.25" customHeight="1">
      <c r="A76" s="429"/>
      <c r="B76" s="131"/>
      <c r="C76" s="164"/>
      <c r="D76" s="126"/>
      <c r="E76" s="16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8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</row>
    <row r="77" spans="1:36" ht="13.25" customHeight="1">
      <c r="A77" s="429"/>
      <c r="B77" s="131"/>
      <c r="C77" s="164"/>
      <c r="D77" s="126"/>
      <c r="E77" s="16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8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</row>
    <row r="78" spans="1:36" ht="13.25" customHeight="1">
      <c r="A78" s="429"/>
      <c r="B78" s="131"/>
      <c r="C78" s="164"/>
      <c r="D78" s="126"/>
      <c r="E78" s="16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8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</row>
    <row r="79" spans="1:36" ht="13.25" customHeight="1">
      <c r="A79" s="429"/>
      <c r="B79" s="131"/>
      <c r="C79" s="164"/>
      <c r="D79" s="126"/>
      <c r="E79" s="16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8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</row>
    <row r="80" spans="1:36" ht="13.25" customHeight="1">
      <c r="A80" s="429"/>
      <c r="B80" s="131"/>
      <c r="C80" s="164"/>
      <c r="D80" s="126"/>
      <c r="E80" s="16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8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3.25" customHeight="1">
      <c r="A81" s="429"/>
      <c r="B81" s="131"/>
      <c r="C81" s="164"/>
      <c r="D81" s="126"/>
      <c r="E81" s="16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8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</row>
    <row r="82" spans="1:36" ht="13.25" customHeight="1">
      <c r="A82" s="429"/>
      <c r="B82" s="131"/>
      <c r="C82" s="164"/>
      <c r="D82" s="126"/>
      <c r="E82" s="16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8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</row>
    <row r="83" spans="1:36" ht="13.25" customHeight="1">
      <c r="A83" s="429"/>
      <c r="B83" s="131"/>
      <c r="C83" s="164"/>
      <c r="D83" s="126"/>
      <c r="E83" s="16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8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</row>
  </sheetData>
  <autoFilter ref="A10:D65" xr:uid="{308CFEA1-C200-4BC9-82DD-6919FC88E155}"/>
  <mergeCells count="2">
    <mergeCell ref="A1:AJ1"/>
    <mergeCell ref="A2:A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798E-2481-4DBB-A217-825212B3D94E}">
  <dimension ref="A1:F161"/>
  <sheetViews>
    <sheetView topLeftCell="A134" zoomScale="80" zoomScaleNormal="80" workbookViewId="0">
      <selection activeCell="D6" sqref="D6:D157"/>
    </sheetView>
  </sheetViews>
  <sheetFormatPr baseColWidth="10" defaultColWidth="16.33203125" defaultRowHeight="13"/>
  <cols>
    <col min="1" max="1" width="10.33203125" style="1" customWidth="1"/>
    <col min="2" max="2" width="8.6640625" style="1" customWidth="1"/>
    <col min="3" max="3" width="115.6640625" style="1" bestFit="1" customWidth="1"/>
    <col min="4" max="4" width="9.33203125" style="1" customWidth="1"/>
    <col min="5" max="5" width="10.33203125" style="1" customWidth="1"/>
    <col min="6" max="16384" width="16.33203125" style="1"/>
  </cols>
  <sheetData>
    <row r="1" spans="1:6" ht="14.75" customHeight="1">
      <c r="A1" s="580" t="s">
        <v>88</v>
      </c>
      <c r="B1" s="600"/>
      <c r="C1" s="600"/>
      <c r="D1" s="600"/>
      <c r="E1" s="600"/>
      <c r="F1" s="601"/>
    </row>
    <row r="2" spans="1:6" ht="14.75" customHeight="1">
      <c r="A2" s="423"/>
      <c r="B2" s="424"/>
      <c r="C2" s="425"/>
      <c r="D2" s="426"/>
      <c r="E2" s="426"/>
      <c r="F2" s="426"/>
    </row>
    <row r="3" spans="1:6" ht="15.75" customHeight="1">
      <c r="A3" s="427" t="s">
        <v>105</v>
      </c>
      <c r="B3" s="428"/>
      <c r="C3" s="368"/>
      <c r="D3" s="366"/>
      <c r="E3" s="366"/>
      <c r="F3" s="366"/>
    </row>
    <row r="4" spans="1:6" ht="15.75" customHeight="1">
      <c r="A4" s="427"/>
      <c r="B4" s="428"/>
      <c r="C4" s="368"/>
      <c r="D4" s="366"/>
      <c r="E4" s="366"/>
      <c r="F4" s="366"/>
    </row>
    <row r="5" spans="1:6" ht="15.75" customHeight="1">
      <c r="A5" s="427"/>
      <c r="B5" s="428"/>
      <c r="C5" s="368"/>
      <c r="D5" s="366"/>
      <c r="E5" s="366"/>
      <c r="F5" s="366"/>
    </row>
    <row r="6" spans="1:6" ht="14" customHeight="1">
      <c r="A6" s="429">
        <v>45379</v>
      </c>
      <c r="B6" s="428" t="s">
        <v>109</v>
      </c>
      <c r="C6" s="434" t="s">
        <v>514</v>
      </c>
      <c r="D6" s="368">
        <v>6.68</v>
      </c>
      <c r="E6" s="477"/>
      <c r="F6" s="475">
        <f>F7+D6-E6</f>
        <v>6011.1899999999951</v>
      </c>
    </row>
    <row r="7" spans="1:6" ht="14" customHeight="1">
      <c r="A7" s="429">
        <v>45351</v>
      </c>
      <c r="B7" s="428" t="s">
        <v>109</v>
      </c>
      <c r="C7" s="434" t="s">
        <v>515</v>
      </c>
      <c r="D7" s="368">
        <v>6.91</v>
      </c>
      <c r="E7" s="477"/>
      <c r="F7" s="366">
        <f t="shared" ref="F7:F17" si="0">F8+D7-E7</f>
        <v>6004.5099999999948</v>
      </c>
    </row>
    <row r="8" spans="1:6" ht="14" customHeight="1">
      <c r="A8" s="429">
        <v>45322</v>
      </c>
      <c r="B8" s="428" t="s">
        <v>109</v>
      </c>
      <c r="C8" s="434" t="s">
        <v>198</v>
      </c>
      <c r="D8" s="368">
        <v>7.85</v>
      </c>
      <c r="E8" s="477"/>
      <c r="F8" s="366">
        <f>F9+D8-E8</f>
        <v>5997.5999999999949</v>
      </c>
    </row>
    <row r="9" spans="1:6" ht="14" customHeight="1">
      <c r="A9" s="429">
        <v>45289</v>
      </c>
      <c r="B9" s="428" t="s">
        <v>109</v>
      </c>
      <c r="C9" s="434" t="s">
        <v>340</v>
      </c>
      <c r="D9" s="368">
        <v>24.35</v>
      </c>
      <c r="E9" s="477"/>
      <c r="F9" s="366">
        <f t="shared" si="0"/>
        <v>5989.7499999999945</v>
      </c>
    </row>
    <row r="10" spans="1:6" ht="14" customHeight="1">
      <c r="A10" s="429">
        <v>45282</v>
      </c>
      <c r="B10" s="428"/>
      <c r="C10" s="434" t="s">
        <v>516</v>
      </c>
      <c r="D10" s="368"/>
      <c r="E10" s="477">
        <v>20000</v>
      </c>
      <c r="F10" s="366">
        <f t="shared" si="0"/>
        <v>5965.3999999999942</v>
      </c>
    </row>
    <row r="11" spans="1:6" ht="14" customHeight="1">
      <c r="A11" s="429">
        <v>45260</v>
      </c>
      <c r="B11" s="428" t="s">
        <v>109</v>
      </c>
      <c r="C11" s="434" t="s">
        <v>120</v>
      </c>
      <c r="D11" s="368">
        <v>30.91</v>
      </c>
      <c r="E11" s="477"/>
      <c r="F11" s="366">
        <f t="shared" si="0"/>
        <v>25965.399999999994</v>
      </c>
    </row>
    <row r="12" spans="1:6" ht="14" customHeight="1">
      <c r="A12" s="429">
        <v>45230</v>
      </c>
      <c r="B12" s="428" t="s">
        <v>109</v>
      </c>
      <c r="C12" s="434" t="s">
        <v>200</v>
      </c>
      <c r="D12" s="368">
        <v>32.93</v>
      </c>
      <c r="E12" s="477"/>
      <c r="F12" s="366">
        <f t="shared" si="0"/>
        <v>25934.489999999994</v>
      </c>
    </row>
    <row r="13" spans="1:6" ht="14" customHeight="1">
      <c r="A13" s="429">
        <v>45198</v>
      </c>
      <c r="B13" s="428" t="s">
        <v>109</v>
      </c>
      <c r="C13" s="434" t="s">
        <v>346</v>
      </c>
      <c r="D13" s="368">
        <v>29.81</v>
      </c>
      <c r="E13" s="477"/>
      <c r="F13" s="366">
        <f t="shared" si="0"/>
        <v>25901.559999999994</v>
      </c>
    </row>
    <row r="14" spans="1:6" ht="14" customHeight="1">
      <c r="A14" s="429">
        <v>45169</v>
      </c>
      <c r="B14" s="428" t="s">
        <v>109</v>
      </c>
      <c r="C14" s="434" t="s">
        <v>267</v>
      </c>
      <c r="D14" s="368">
        <v>30.76</v>
      </c>
      <c r="E14" s="477"/>
      <c r="F14" s="366">
        <f t="shared" si="0"/>
        <v>25871.749999999993</v>
      </c>
    </row>
    <row r="15" spans="1:6" ht="14" customHeight="1">
      <c r="A15" s="429">
        <v>45138</v>
      </c>
      <c r="B15" s="428" t="s">
        <v>109</v>
      </c>
      <c r="C15" s="434" t="s">
        <v>112</v>
      </c>
      <c r="D15" s="368">
        <v>29.03</v>
      </c>
      <c r="E15" s="477"/>
      <c r="F15" s="366">
        <f t="shared" si="0"/>
        <v>25840.989999999994</v>
      </c>
    </row>
    <row r="16" spans="1:6" ht="14" customHeight="1">
      <c r="A16" s="429">
        <v>45107</v>
      </c>
      <c r="B16" s="428" t="s">
        <v>109</v>
      </c>
      <c r="C16" s="434" t="s">
        <v>113</v>
      </c>
      <c r="D16" s="368">
        <v>24.37</v>
      </c>
      <c r="E16" s="477"/>
      <c r="F16" s="366">
        <f t="shared" si="0"/>
        <v>25811.959999999995</v>
      </c>
    </row>
    <row r="17" spans="1:6" ht="14" customHeight="1">
      <c r="A17" s="429">
        <v>45077</v>
      </c>
      <c r="B17" s="428" t="s">
        <v>109</v>
      </c>
      <c r="C17" s="434" t="s">
        <v>204</v>
      </c>
      <c r="D17" s="368">
        <v>25.02</v>
      </c>
      <c r="E17" s="477"/>
      <c r="F17" s="366">
        <f t="shared" si="0"/>
        <v>25787.589999999997</v>
      </c>
    </row>
    <row r="18" spans="1:6" ht="14" customHeight="1">
      <c r="A18" s="429">
        <v>45044</v>
      </c>
      <c r="B18" s="428" t="s">
        <v>109</v>
      </c>
      <c r="C18" s="434" t="s">
        <v>353</v>
      </c>
      <c r="D18" s="368">
        <v>20.100000000000001</v>
      </c>
      <c r="E18" s="477"/>
      <c r="F18" s="366">
        <f>F19+D18-E18</f>
        <v>25762.569999999996</v>
      </c>
    </row>
    <row r="19" spans="1:6" ht="14" customHeight="1">
      <c r="A19" s="429">
        <v>45016</v>
      </c>
      <c r="B19" s="428" t="s">
        <v>109</v>
      </c>
      <c r="C19" s="434" t="s">
        <v>116</v>
      </c>
      <c r="D19" s="368">
        <v>21.85</v>
      </c>
      <c r="E19" s="477"/>
      <c r="F19" s="366">
        <f>F21+D19-E19</f>
        <v>25742.469999999998</v>
      </c>
    </row>
    <row r="20" spans="1:6" ht="14" customHeight="1">
      <c r="A20" s="429"/>
      <c r="B20" s="428"/>
      <c r="C20" s="434"/>
      <c r="D20" s="368"/>
      <c r="E20" s="477"/>
      <c r="F20" s="366"/>
    </row>
    <row r="21" spans="1:6" ht="14" customHeight="1">
      <c r="A21" s="429"/>
      <c r="B21" s="428"/>
      <c r="C21" s="434" t="s">
        <v>385</v>
      </c>
      <c r="D21" s="366"/>
      <c r="E21" s="368"/>
      <c r="F21" s="377">
        <v>25720.62</v>
      </c>
    </row>
    <row r="22" spans="1:6" ht="13.75" customHeight="1">
      <c r="A22" s="432"/>
      <c r="B22" s="428"/>
      <c r="C22" s="368"/>
      <c r="D22" s="430"/>
      <c r="E22" s="368"/>
      <c r="F22" s="366"/>
    </row>
    <row r="23" spans="1:6" ht="14" customHeight="1">
      <c r="A23" s="427" t="s">
        <v>106</v>
      </c>
      <c r="B23" s="428"/>
      <c r="C23" s="434"/>
      <c r="D23" s="366"/>
      <c r="E23" s="368"/>
      <c r="F23" s="366"/>
    </row>
    <row r="24" spans="1:6" ht="14" customHeight="1">
      <c r="A24" s="530"/>
      <c r="B24" s="428"/>
      <c r="C24" s="434"/>
      <c r="D24" s="366"/>
      <c r="E24" s="368"/>
      <c r="F24" s="366"/>
    </row>
    <row r="25" spans="1:6" ht="14" customHeight="1">
      <c r="A25" s="530"/>
      <c r="B25" s="428"/>
      <c r="C25" s="434"/>
      <c r="D25" s="366"/>
      <c r="E25" s="368"/>
      <c r="F25" s="366"/>
    </row>
    <row r="26" spans="1:6" ht="14" customHeight="1">
      <c r="A26" s="429">
        <v>45379</v>
      </c>
      <c r="B26" s="428" t="s">
        <v>124</v>
      </c>
      <c r="C26" s="434" t="s">
        <v>517</v>
      </c>
      <c r="D26" s="368"/>
      <c r="E26" s="477">
        <v>77.91</v>
      </c>
      <c r="F26" s="475">
        <f t="shared" ref="F26:F89" si="1">F27+D26-E26</f>
        <v>3489.0899999999974</v>
      </c>
    </row>
    <row r="27" spans="1:6" ht="14" customHeight="1">
      <c r="A27" s="429">
        <v>45379</v>
      </c>
      <c r="B27" s="428" t="s">
        <v>124</v>
      </c>
      <c r="C27" s="434" t="s">
        <v>518</v>
      </c>
      <c r="D27" s="368"/>
      <c r="E27" s="477">
        <v>1388</v>
      </c>
      <c r="F27" s="366">
        <f t="shared" si="1"/>
        <v>3566.9999999999973</v>
      </c>
    </row>
    <row r="28" spans="1:6" ht="14" customHeight="1">
      <c r="A28" s="429">
        <v>45376</v>
      </c>
      <c r="B28" s="428" t="s">
        <v>153</v>
      </c>
      <c r="C28" s="434" t="s">
        <v>519</v>
      </c>
      <c r="D28" s="368"/>
      <c r="E28" s="477">
        <v>150</v>
      </c>
      <c r="F28" s="366">
        <f t="shared" si="1"/>
        <v>4954.9999999999973</v>
      </c>
    </row>
    <row r="29" spans="1:6" ht="14" customHeight="1">
      <c r="A29" s="429">
        <v>45373</v>
      </c>
      <c r="B29" s="428" t="s">
        <v>124</v>
      </c>
      <c r="C29" s="434" t="s">
        <v>520</v>
      </c>
      <c r="D29" s="368"/>
      <c r="E29" s="477">
        <v>697.5</v>
      </c>
      <c r="F29" s="366">
        <f t="shared" si="1"/>
        <v>5104.9999999999973</v>
      </c>
    </row>
    <row r="30" spans="1:6" ht="14" customHeight="1">
      <c r="A30" s="429">
        <v>45373</v>
      </c>
      <c r="B30" s="428" t="s">
        <v>122</v>
      </c>
      <c r="C30" s="434" t="s">
        <v>404</v>
      </c>
      <c r="D30" s="368">
        <v>47.16</v>
      </c>
      <c r="E30" s="477"/>
      <c r="F30" s="366">
        <f t="shared" si="1"/>
        <v>5802.4999999999973</v>
      </c>
    </row>
    <row r="31" spans="1:6" ht="14" customHeight="1">
      <c r="A31" s="429">
        <v>45371</v>
      </c>
      <c r="B31" s="428" t="s">
        <v>122</v>
      </c>
      <c r="C31" s="434" t="s">
        <v>404</v>
      </c>
      <c r="D31" s="368">
        <v>9.82</v>
      </c>
      <c r="E31" s="477"/>
      <c r="F31" s="366">
        <f t="shared" si="1"/>
        <v>5755.3399999999974</v>
      </c>
    </row>
    <row r="32" spans="1:6" ht="14" customHeight="1">
      <c r="A32" s="429">
        <v>45370</v>
      </c>
      <c r="B32" s="428" t="s">
        <v>122</v>
      </c>
      <c r="C32" s="434" t="s">
        <v>521</v>
      </c>
      <c r="D32" s="368">
        <v>22.45</v>
      </c>
      <c r="E32" s="477"/>
      <c r="F32" s="366">
        <f t="shared" si="1"/>
        <v>5745.5199999999977</v>
      </c>
    </row>
    <row r="33" spans="1:6" ht="14" customHeight="1">
      <c r="A33" s="429">
        <v>45369</v>
      </c>
      <c r="B33" s="428" t="s">
        <v>122</v>
      </c>
      <c r="C33" s="434" t="s">
        <v>522</v>
      </c>
      <c r="D33" s="368">
        <v>2</v>
      </c>
      <c r="E33" s="477"/>
      <c r="F33" s="366">
        <f t="shared" si="1"/>
        <v>5723.0699999999979</v>
      </c>
    </row>
    <row r="34" spans="1:6" ht="14" customHeight="1">
      <c r="A34" s="429">
        <v>45369</v>
      </c>
      <c r="B34" s="428" t="s">
        <v>122</v>
      </c>
      <c r="C34" s="434" t="s">
        <v>523</v>
      </c>
      <c r="D34" s="368">
        <v>148</v>
      </c>
      <c r="E34" s="477"/>
      <c r="F34" s="366">
        <f t="shared" si="1"/>
        <v>5721.0699999999979</v>
      </c>
    </row>
    <row r="35" spans="1:6" ht="14" customHeight="1">
      <c r="A35" s="429">
        <v>45369</v>
      </c>
      <c r="B35" s="428" t="s">
        <v>122</v>
      </c>
      <c r="C35" s="434" t="s">
        <v>524</v>
      </c>
      <c r="D35" s="368">
        <v>271.05</v>
      </c>
      <c r="E35" s="477"/>
      <c r="F35" s="366">
        <f t="shared" si="1"/>
        <v>5573.0699999999979</v>
      </c>
    </row>
    <row r="36" spans="1:6" ht="14" customHeight="1">
      <c r="A36" s="429">
        <v>45364</v>
      </c>
      <c r="B36" s="428" t="s">
        <v>122</v>
      </c>
      <c r="C36" s="434" t="s">
        <v>525</v>
      </c>
      <c r="D36" s="368">
        <v>90.42</v>
      </c>
      <c r="E36" s="477"/>
      <c r="F36" s="366">
        <f t="shared" si="1"/>
        <v>5302.0199999999977</v>
      </c>
    </row>
    <row r="37" spans="1:6" ht="14" customHeight="1">
      <c r="A37" s="429">
        <v>45363</v>
      </c>
      <c r="B37" s="428" t="s">
        <v>122</v>
      </c>
      <c r="C37" s="434" t="s">
        <v>526</v>
      </c>
      <c r="D37" s="368">
        <v>22.05</v>
      </c>
      <c r="E37" s="477"/>
      <c r="F37" s="366">
        <f t="shared" si="1"/>
        <v>5211.5999999999976</v>
      </c>
    </row>
    <row r="38" spans="1:6" ht="14" customHeight="1">
      <c r="A38" s="429">
        <v>45362</v>
      </c>
      <c r="B38" s="428" t="s">
        <v>122</v>
      </c>
      <c r="C38" s="434" t="s">
        <v>527</v>
      </c>
      <c r="D38" s="368">
        <v>22.45</v>
      </c>
      <c r="E38" s="477"/>
      <c r="F38" s="366">
        <f t="shared" si="1"/>
        <v>5189.5499999999975</v>
      </c>
    </row>
    <row r="39" spans="1:6" ht="14" customHeight="1">
      <c r="A39" s="429">
        <v>45362</v>
      </c>
      <c r="B39" s="428" t="s">
        <v>122</v>
      </c>
      <c r="C39" s="434" t="s">
        <v>528</v>
      </c>
      <c r="D39" s="368">
        <v>45.11</v>
      </c>
      <c r="E39" s="477"/>
      <c r="F39" s="366">
        <f t="shared" si="1"/>
        <v>5167.0999999999976</v>
      </c>
    </row>
    <row r="40" spans="1:6" ht="14" customHeight="1">
      <c r="A40" s="429">
        <v>45359</v>
      </c>
      <c r="B40" s="428" t="s">
        <v>124</v>
      </c>
      <c r="C40" s="434" t="s">
        <v>529</v>
      </c>
      <c r="D40" s="368"/>
      <c r="E40" s="477">
        <v>240</v>
      </c>
      <c r="F40" s="366">
        <f t="shared" si="1"/>
        <v>5121.989999999998</v>
      </c>
    </row>
    <row r="41" spans="1:6" ht="14" customHeight="1">
      <c r="A41" s="429">
        <v>45359</v>
      </c>
      <c r="B41" s="428" t="s">
        <v>124</v>
      </c>
      <c r="C41" s="434" t="s">
        <v>530</v>
      </c>
      <c r="D41" s="368"/>
      <c r="E41" s="477">
        <v>24.86</v>
      </c>
      <c r="F41" s="366">
        <f t="shared" si="1"/>
        <v>5361.989999999998</v>
      </c>
    </row>
    <row r="42" spans="1:6" ht="14" customHeight="1">
      <c r="A42" s="429">
        <v>45358</v>
      </c>
      <c r="B42" s="428" t="s">
        <v>122</v>
      </c>
      <c r="C42" s="434" t="s">
        <v>531</v>
      </c>
      <c r="D42" s="368">
        <v>90.42</v>
      </c>
      <c r="E42" s="477"/>
      <c r="F42" s="366">
        <f t="shared" si="1"/>
        <v>5386.8499999999976</v>
      </c>
    </row>
    <row r="43" spans="1:6" ht="14" customHeight="1">
      <c r="A43" s="429">
        <v>45357</v>
      </c>
      <c r="B43" s="428" t="s">
        <v>122</v>
      </c>
      <c r="C43" s="434" t="s">
        <v>532</v>
      </c>
      <c r="D43" s="368">
        <v>45.11</v>
      </c>
      <c r="E43" s="477"/>
      <c r="F43" s="366">
        <f t="shared" si="1"/>
        <v>5296.4299999999976</v>
      </c>
    </row>
    <row r="44" spans="1:6" ht="14" customHeight="1">
      <c r="A44" s="429">
        <v>45356</v>
      </c>
      <c r="B44" s="428" t="s">
        <v>149</v>
      </c>
      <c r="C44" s="434" t="s">
        <v>533</v>
      </c>
      <c r="D44" s="368"/>
      <c r="E44" s="477">
        <v>75</v>
      </c>
      <c r="F44" s="366">
        <f t="shared" si="1"/>
        <v>5251.3199999999979</v>
      </c>
    </row>
    <row r="45" spans="1:6" ht="14" customHeight="1">
      <c r="A45" s="429">
        <v>45355</v>
      </c>
      <c r="B45" s="428" t="s">
        <v>153</v>
      </c>
      <c r="C45" s="434" t="s">
        <v>534</v>
      </c>
      <c r="D45" s="368"/>
      <c r="E45" s="477">
        <v>331.2</v>
      </c>
      <c r="F45" s="366">
        <f t="shared" si="1"/>
        <v>5326.3199999999979</v>
      </c>
    </row>
    <row r="46" spans="1:6" ht="14" customHeight="1">
      <c r="A46" s="429">
        <v>45355</v>
      </c>
      <c r="B46" s="428" t="s">
        <v>122</v>
      </c>
      <c r="C46" s="434" t="s">
        <v>535</v>
      </c>
      <c r="D46" s="368">
        <v>90.01</v>
      </c>
      <c r="E46" s="477"/>
      <c r="F46" s="366">
        <f t="shared" si="1"/>
        <v>5657.5199999999977</v>
      </c>
    </row>
    <row r="47" spans="1:6" ht="14" customHeight="1">
      <c r="A47" s="429">
        <v>45351</v>
      </c>
      <c r="B47" s="428" t="s">
        <v>122</v>
      </c>
      <c r="C47" s="434" t="s">
        <v>536</v>
      </c>
      <c r="D47" s="368">
        <v>45.11</v>
      </c>
      <c r="E47" s="477"/>
      <c r="F47" s="366">
        <f t="shared" si="1"/>
        <v>5567.5099999999975</v>
      </c>
    </row>
    <row r="48" spans="1:6" ht="14" customHeight="1">
      <c r="A48" s="429">
        <v>45345</v>
      </c>
      <c r="B48" s="428" t="s">
        <v>132</v>
      </c>
      <c r="C48" s="434">
        <v>100361</v>
      </c>
      <c r="D48" s="368">
        <v>23</v>
      </c>
      <c r="E48" s="477"/>
      <c r="F48" s="366">
        <f t="shared" si="1"/>
        <v>5522.3999999999978</v>
      </c>
    </row>
    <row r="49" spans="1:6" ht="14" customHeight="1">
      <c r="A49" s="429">
        <v>45345</v>
      </c>
      <c r="B49" s="428" t="s">
        <v>122</v>
      </c>
      <c r="C49" s="434" t="s">
        <v>537</v>
      </c>
      <c r="D49" s="368">
        <v>45.11</v>
      </c>
      <c r="E49" s="477"/>
      <c r="F49" s="366">
        <f t="shared" si="1"/>
        <v>5499.3999999999978</v>
      </c>
    </row>
    <row r="50" spans="1:6" ht="14" customHeight="1">
      <c r="A50" s="429">
        <v>45344</v>
      </c>
      <c r="B50" s="428" t="s">
        <v>122</v>
      </c>
      <c r="C50" s="434" t="s">
        <v>538</v>
      </c>
      <c r="D50" s="368">
        <v>22.45</v>
      </c>
      <c r="E50" s="477"/>
      <c r="F50" s="366">
        <f t="shared" si="1"/>
        <v>5454.2899999999981</v>
      </c>
    </row>
    <row r="51" spans="1:6" ht="14" customHeight="1">
      <c r="A51" s="429">
        <v>45343</v>
      </c>
      <c r="B51" s="428" t="s">
        <v>122</v>
      </c>
      <c r="C51" s="434" t="s">
        <v>539</v>
      </c>
      <c r="D51" s="368">
        <v>45.11</v>
      </c>
      <c r="E51" s="477"/>
      <c r="F51" s="366">
        <f t="shared" si="1"/>
        <v>5431.8399999999983</v>
      </c>
    </row>
    <row r="52" spans="1:6" ht="14" customHeight="1">
      <c r="A52" s="429">
        <v>45341</v>
      </c>
      <c r="B52" s="428" t="s">
        <v>124</v>
      </c>
      <c r="C52" s="434" t="s">
        <v>540</v>
      </c>
      <c r="D52" s="368"/>
      <c r="E52" s="477">
        <v>103.5</v>
      </c>
      <c r="F52" s="366">
        <f t="shared" si="1"/>
        <v>5386.7299999999987</v>
      </c>
    </row>
    <row r="53" spans="1:6" ht="14" customHeight="1">
      <c r="A53" s="429">
        <v>45338</v>
      </c>
      <c r="B53" s="428" t="s">
        <v>122</v>
      </c>
      <c r="C53" s="434" t="s">
        <v>541</v>
      </c>
      <c r="D53" s="368">
        <v>45.11</v>
      </c>
      <c r="E53" s="477"/>
      <c r="F53" s="366">
        <f t="shared" si="1"/>
        <v>5490.2299999999987</v>
      </c>
    </row>
    <row r="54" spans="1:6" ht="14" customHeight="1">
      <c r="A54" s="429">
        <v>45336</v>
      </c>
      <c r="B54" s="428" t="s">
        <v>153</v>
      </c>
      <c r="C54" s="434" t="s">
        <v>542</v>
      </c>
      <c r="D54" s="368"/>
      <c r="E54" s="477">
        <v>68</v>
      </c>
      <c r="F54" s="366">
        <f t="shared" si="1"/>
        <v>5445.119999999999</v>
      </c>
    </row>
    <row r="55" spans="1:6" ht="14" customHeight="1">
      <c r="A55" s="429">
        <v>45334</v>
      </c>
      <c r="B55" s="428" t="s">
        <v>122</v>
      </c>
      <c r="C55" s="434" t="s">
        <v>543</v>
      </c>
      <c r="D55" s="368">
        <v>67</v>
      </c>
      <c r="E55" s="477"/>
      <c r="F55" s="366">
        <f t="shared" si="1"/>
        <v>5513.119999999999</v>
      </c>
    </row>
    <row r="56" spans="1:6" ht="14" customHeight="1">
      <c r="A56" s="429">
        <v>45331</v>
      </c>
      <c r="B56" s="428" t="s">
        <v>122</v>
      </c>
      <c r="C56" s="434" t="s">
        <v>544</v>
      </c>
      <c r="D56" s="368">
        <v>160</v>
      </c>
      <c r="E56" s="477"/>
      <c r="F56" s="366">
        <f t="shared" si="1"/>
        <v>5446.119999999999</v>
      </c>
    </row>
    <row r="57" spans="1:6" ht="14" customHeight="1">
      <c r="A57" s="429">
        <v>45330</v>
      </c>
      <c r="B57" s="428" t="s">
        <v>122</v>
      </c>
      <c r="C57" s="434" t="s">
        <v>545</v>
      </c>
      <c r="D57" s="368">
        <v>45.11</v>
      </c>
      <c r="E57" s="477"/>
      <c r="F57" s="366">
        <f t="shared" si="1"/>
        <v>5286.119999999999</v>
      </c>
    </row>
    <row r="58" spans="1:6" ht="14" customHeight="1">
      <c r="A58" s="429">
        <v>45327</v>
      </c>
      <c r="B58" s="428" t="s">
        <v>149</v>
      </c>
      <c r="C58" s="434" t="s">
        <v>546</v>
      </c>
      <c r="D58" s="368"/>
      <c r="E58" s="477">
        <v>75</v>
      </c>
      <c r="F58" s="366">
        <f t="shared" si="1"/>
        <v>5241.0099999999993</v>
      </c>
    </row>
    <row r="59" spans="1:6" ht="14" customHeight="1">
      <c r="A59" s="429">
        <v>45320</v>
      </c>
      <c r="B59" s="428" t="s">
        <v>122</v>
      </c>
      <c r="C59" s="434" t="s">
        <v>547</v>
      </c>
      <c r="D59" s="368">
        <v>22.45</v>
      </c>
      <c r="E59" s="477"/>
      <c r="F59" s="366">
        <f t="shared" si="1"/>
        <v>5316.0099999999993</v>
      </c>
    </row>
    <row r="60" spans="1:6" ht="14" customHeight="1">
      <c r="A60" s="429">
        <v>45320</v>
      </c>
      <c r="B60" s="428" t="s">
        <v>122</v>
      </c>
      <c r="C60" s="434" t="s">
        <v>548</v>
      </c>
      <c r="D60" s="368">
        <v>45.11</v>
      </c>
      <c r="E60" s="477"/>
      <c r="F60" s="366">
        <f t="shared" si="1"/>
        <v>5293.5599999999995</v>
      </c>
    </row>
    <row r="61" spans="1:6" ht="14" customHeight="1">
      <c r="A61" s="429">
        <v>45317</v>
      </c>
      <c r="B61" s="428" t="s">
        <v>124</v>
      </c>
      <c r="C61" s="434" t="s">
        <v>549</v>
      </c>
      <c r="D61" s="368"/>
      <c r="E61" s="477">
        <v>190</v>
      </c>
      <c r="F61" s="366">
        <f t="shared" si="1"/>
        <v>5248.45</v>
      </c>
    </row>
    <row r="62" spans="1:6" ht="14" customHeight="1">
      <c r="A62" s="429">
        <v>45310</v>
      </c>
      <c r="B62" s="428" t="s">
        <v>122</v>
      </c>
      <c r="C62" s="434" t="s">
        <v>550</v>
      </c>
      <c r="D62" s="368">
        <v>270.66000000000003</v>
      </c>
      <c r="E62" s="477"/>
      <c r="F62" s="366">
        <f t="shared" si="1"/>
        <v>5438.45</v>
      </c>
    </row>
    <row r="63" spans="1:6" ht="14" customHeight="1">
      <c r="A63" s="429">
        <v>45309</v>
      </c>
      <c r="B63" s="428" t="s">
        <v>122</v>
      </c>
      <c r="C63" s="434" t="s">
        <v>551</v>
      </c>
      <c r="D63" s="368">
        <v>112.67</v>
      </c>
      <c r="E63" s="477"/>
      <c r="F63" s="366">
        <f t="shared" si="1"/>
        <v>5167.79</v>
      </c>
    </row>
    <row r="64" spans="1:6" ht="14" customHeight="1">
      <c r="A64" s="429">
        <v>45300</v>
      </c>
      <c r="B64" s="428" t="s">
        <v>124</v>
      </c>
      <c r="C64" s="434" t="s">
        <v>496</v>
      </c>
      <c r="D64" s="368"/>
      <c r="E64" s="477">
        <v>66</v>
      </c>
      <c r="F64" s="366">
        <f t="shared" si="1"/>
        <v>5055.12</v>
      </c>
    </row>
    <row r="65" spans="1:6" ht="14" customHeight="1">
      <c r="A65" s="429">
        <v>45299</v>
      </c>
      <c r="B65" s="428" t="s">
        <v>122</v>
      </c>
      <c r="C65" s="434" t="s">
        <v>552</v>
      </c>
      <c r="D65" s="368">
        <v>30</v>
      </c>
      <c r="E65" s="477"/>
      <c r="F65" s="366">
        <f t="shared" si="1"/>
        <v>5121.12</v>
      </c>
    </row>
    <row r="66" spans="1:6" ht="14" customHeight="1">
      <c r="A66" s="429">
        <v>45299</v>
      </c>
      <c r="B66" s="428" t="s">
        <v>122</v>
      </c>
      <c r="C66" s="434" t="s">
        <v>553</v>
      </c>
      <c r="D66" s="368">
        <v>40</v>
      </c>
      <c r="E66" s="477"/>
      <c r="F66" s="366">
        <f t="shared" si="1"/>
        <v>5091.12</v>
      </c>
    </row>
    <row r="67" spans="1:6" ht="14" customHeight="1">
      <c r="A67" s="429">
        <v>45296</v>
      </c>
      <c r="B67" s="428" t="s">
        <v>149</v>
      </c>
      <c r="C67" s="434" t="s">
        <v>554</v>
      </c>
      <c r="D67" s="368"/>
      <c r="E67" s="477">
        <v>75</v>
      </c>
      <c r="F67" s="366">
        <f t="shared" si="1"/>
        <v>5051.12</v>
      </c>
    </row>
    <row r="68" spans="1:6" ht="14" customHeight="1">
      <c r="A68" s="429">
        <v>45293</v>
      </c>
      <c r="B68" s="428" t="s">
        <v>149</v>
      </c>
      <c r="C68" s="434" t="s">
        <v>555</v>
      </c>
      <c r="D68" s="368"/>
      <c r="E68" s="477">
        <v>50</v>
      </c>
      <c r="F68" s="366">
        <f t="shared" si="1"/>
        <v>5126.12</v>
      </c>
    </row>
    <row r="69" spans="1:6" ht="14" customHeight="1">
      <c r="A69" s="429">
        <v>45274</v>
      </c>
      <c r="B69" s="428" t="s">
        <v>122</v>
      </c>
      <c r="C69" s="434" t="s">
        <v>404</v>
      </c>
      <c r="D69" s="368">
        <v>10.81</v>
      </c>
      <c r="E69" s="477"/>
      <c r="F69" s="366">
        <f t="shared" si="1"/>
        <v>5176.12</v>
      </c>
    </row>
    <row r="70" spans="1:6" ht="14" customHeight="1">
      <c r="A70" s="429">
        <v>45272</v>
      </c>
      <c r="B70" s="428" t="s">
        <v>122</v>
      </c>
      <c r="C70" s="434" t="s">
        <v>556</v>
      </c>
      <c r="D70" s="368">
        <v>6</v>
      </c>
      <c r="E70" s="477"/>
      <c r="F70" s="366">
        <f t="shared" si="1"/>
        <v>5165.3099999999995</v>
      </c>
    </row>
    <row r="71" spans="1:6" ht="14" customHeight="1">
      <c r="A71" s="429">
        <v>45272</v>
      </c>
      <c r="B71" s="428" t="s">
        <v>122</v>
      </c>
      <c r="C71" s="434" t="s">
        <v>557</v>
      </c>
      <c r="D71" s="368">
        <v>92</v>
      </c>
      <c r="E71" s="477"/>
      <c r="F71" s="366">
        <f t="shared" si="1"/>
        <v>5159.3099999999995</v>
      </c>
    </row>
    <row r="72" spans="1:6" ht="14" customHeight="1">
      <c r="A72" s="429">
        <v>45271</v>
      </c>
      <c r="B72" s="428" t="s">
        <v>124</v>
      </c>
      <c r="C72" s="434" t="s">
        <v>558</v>
      </c>
      <c r="D72" s="368"/>
      <c r="E72" s="477">
        <v>471.5</v>
      </c>
      <c r="F72" s="366">
        <f t="shared" si="1"/>
        <v>5067.3099999999995</v>
      </c>
    </row>
    <row r="73" spans="1:6" ht="14" customHeight="1">
      <c r="A73" s="429">
        <v>45271</v>
      </c>
      <c r="B73" s="428" t="s">
        <v>122</v>
      </c>
      <c r="C73" s="434" t="s">
        <v>559</v>
      </c>
      <c r="D73" s="368">
        <v>50</v>
      </c>
      <c r="E73" s="477"/>
      <c r="F73" s="366">
        <f t="shared" si="1"/>
        <v>5538.8099999999995</v>
      </c>
    </row>
    <row r="74" spans="1:6" ht="14" customHeight="1">
      <c r="A74" s="429">
        <v>45265</v>
      </c>
      <c r="B74" s="428" t="s">
        <v>149</v>
      </c>
      <c r="C74" s="434" t="s">
        <v>560</v>
      </c>
      <c r="D74" s="368"/>
      <c r="E74" s="477">
        <v>75</v>
      </c>
      <c r="F74" s="366">
        <f t="shared" si="1"/>
        <v>5488.8099999999995</v>
      </c>
    </row>
    <row r="75" spans="1:6" ht="14" customHeight="1">
      <c r="A75" s="429">
        <v>45264</v>
      </c>
      <c r="B75" s="428" t="s">
        <v>122</v>
      </c>
      <c r="C75" s="434" t="s">
        <v>561</v>
      </c>
      <c r="D75" s="368">
        <v>225</v>
      </c>
      <c r="E75" s="477"/>
      <c r="F75" s="366">
        <f t="shared" si="1"/>
        <v>5563.8099999999995</v>
      </c>
    </row>
    <row r="76" spans="1:6" ht="14" customHeight="1">
      <c r="A76" s="429">
        <v>45258</v>
      </c>
      <c r="B76" s="428" t="s">
        <v>124</v>
      </c>
      <c r="C76" s="434" t="s">
        <v>562</v>
      </c>
      <c r="D76" s="368"/>
      <c r="E76" s="477">
        <v>164.7</v>
      </c>
      <c r="F76" s="366">
        <f t="shared" si="1"/>
        <v>5338.8099999999995</v>
      </c>
    </row>
    <row r="77" spans="1:6" ht="14" customHeight="1">
      <c r="A77" s="429">
        <v>45251</v>
      </c>
      <c r="B77" s="428" t="s">
        <v>124</v>
      </c>
      <c r="C77" s="434" t="s">
        <v>563</v>
      </c>
      <c r="D77" s="368"/>
      <c r="E77" s="477">
        <v>643.5</v>
      </c>
      <c r="F77" s="366">
        <f t="shared" si="1"/>
        <v>5503.5099999999993</v>
      </c>
    </row>
    <row r="78" spans="1:6" ht="14" customHeight="1">
      <c r="A78" s="429">
        <v>45251</v>
      </c>
      <c r="B78" s="428" t="s">
        <v>124</v>
      </c>
      <c r="C78" s="434" t="s">
        <v>564</v>
      </c>
      <c r="D78" s="368"/>
      <c r="E78" s="477">
        <v>205.38</v>
      </c>
      <c r="F78" s="366">
        <f t="shared" si="1"/>
        <v>6147.0099999999993</v>
      </c>
    </row>
    <row r="79" spans="1:6" ht="14" customHeight="1">
      <c r="A79" s="429">
        <v>45251</v>
      </c>
      <c r="B79" s="428" t="s">
        <v>122</v>
      </c>
      <c r="C79" s="434" t="s">
        <v>565</v>
      </c>
      <c r="D79" s="368">
        <v>250</v>
      </c>
      <c r="E79" s="477"/>
      <c r="F79" s="366">
        <f t="shared" si="1"/>
        <v>6352.3899999999994</v>
      </c>
    </row>
    <row r="80" spans="1:6" ht="14" customHeight="1">
      <c r="A80" s="429">
        <v>45240</v>
      </c>
      <c r="B80" s="428" t="s">
        <v>122</v>
      </c>
      <c r="C80" s="434" t="s">
        <v>566</v>
      </c>
      <c r="D80" s="368">
        <v>500</v>
      </c>
      <c r="E80" s="477"/>
      <c r="F80" s="366">
        <f t="shared" si="1"/>
        <v>6102.3899999999994</v>
      </c>
    </row>
    <row r="81" spans="1:6" ht="14" customHeight="1">
      <c r="A81" s="429">
        <v>45236</v>
      </c>
      <c r="B81" s="428" t="s">
        <v>149</v>
      </c>
      <c r="C81" s="434" t="s">
        <v>567</v>
      </c>
      <c r="D81" s="368"/>
      <c r="E81" s="477">
        <v>75</v>
      </c>
      <c r="F81" s="366">
        <f t="shared" si="1"/>
        <v>5602.3899999999994</v>
      </c>
    </row>
    <row r="82" spans="1:6" ht="14" customHeight="1">
      <c r="A82" s="429">
        <v>45222</v>
      </c>
      <c r="B82" s="428" t="s">
        <v>124</v>
      </c>
      <c r="C82" s="434" t="s">
        <v>568</v>
      </c>
      <c r="D82" s="368"/>
      <c r="E82" s="477">
        <v>1000</v>
      </c>
      <c r="F82" s="366">
        <f t="shared" si="1"/>
        <v>5677.3899999999994</v>
      </c>
    </row>
    <row r="83" spans="1:6" ht="14" customHeight="1">
      <c r="A83" s="429">
        <v>45212</v>
      </c>
      <c r="B83" s="428" t="s">
        <v>124</v>
      </c>
      <c r="C83" s="434" t="s">
        <v>569</v>
      </c>
      <c r="D83" s="368"/>
      <c r="E83" s="477">
        <v>110</v>
      </c>
      <c r="F83" s="366">
        <f t="shared" si="1"/>
        <v>6677.3899999999994</v>
      </c>
    </row>
    <row r="84" spans="1:6" ht="14" customHeight="1">
      <c r="A84" s="429">
        <v>45204</v>
      </c>
      <c r="B84" s="428" t="s">
        <v>149</v>
      </c>
      <c r="C84" s="434" t="s">
        <v>570</v>
      </c>
      <c r="D84" s="368"/>
      <c r="E84" s="477">
        <v>75</v>
      </c>
      <c r="F84" s="366">
        <f t="shared" si="1"/>
        <v>6787.3899999999994</v>
      </c>
    </row>
    <row r="85" spans="1:6" ht="14" customHeight="1">
      <c r="A85" s="429">
        <v>45203</v>
      </c>
      <c r="B85" s="428" t="s">
        <v>153</v>
      </c>
      <c r="C85" s="434" t="s">
        <v>571</v>
      </c>
      <c r="D85" s="368"/>
      <c r="E85" s="477">
        <v>21</v>
      </c>
      <c r="F85" s="366">
        <f t="shared" si="1"/>
        <v>6862.3899999999994</v>
      </c>
    </row>
    <row r="86" spans="1:6" ht="14" customHeight="1">
      <c r="A86" s="429">
        <v>45201</v>
      </c>
      <c r="B86" s="428" t="s">
        <v>149</v>
      </c>
      <c r="C86" s="434" t="s">
        <v>572</v>
      </c>
      <c r="D86" s="368"/>
      <c r="E86" s="477">
        <v>50</v>
      </c>
      <c r="F86" s="366">
        <f t="shared" si="1"/>
        <v>6883.3899999999994</v>
      </c>
    </row>
    <row r="87" spans="1:6" ht="14" customHeight="1">
      <c r="A87" s="429">
        <v>45189</v>
      </c>
      <c r="B87" s="428" t="s">
        <v>124</v>
      </c>
      <c r="C87" s="434" t="s">
        <v>573</v>
      </c>
      <c r="D87" s="368"/>
      <c r="E87" s="477">
        <v>42.3</v>
      </c>
      <c r="F87" s="366">
        <f t="shared" si="1"/>
        <v>6933.3899999999994</v>
      </c>
    </row>
    <row r="88" spans="1:6" ht="14" customHeight="1">
      <c r="A88" s="429">
        <v>45189</v>
      </c>
      <c r="B88" s="428" t="s">
        <v>124</v>
      </c>
      <c r="C88" s="434" t="s">
        <v>574</v>
      </c>
      <c r="D88" s="368"/>
      <c r="E88" s="477">
        <v>77.5</v>
      </c>
      <c r="F88" s="366">
        <f t="shared" si="1"/>
        <v>6975.69</v>
      </c>
    </row>
    <row r="89" spans="1:6" ht="14" customHeight="1">
      <c r="A89" s="429">
        <v>45187</v>
      </c>
      <c r="B89" s="428" t="s">
        <v>122</v>
      </c>
      <c r="C89" s="434" t="s">
        <v>575</v>
      </c>
      <c r="D89" s="368">
        <v>103</v>
      </c>
      <c r="E89" s="477"/>
      <c r="F89" s="366">
        <f t="shared" si="1"/>
        <v>7053.19</v>
      </c>
    </row>
    <row r="90" spans="1:6" ht="14" customHeight="1">
      <c r="A90" s="429">
        <v>45187</v>
      </c>
      <c r="B90" s="428" t="s">
        <v>122</v>
      </c>
      <c r="C90" s="434" t="s">
        <v>576</v>
      </c>
      <c r="D90" s="368">
        <v>7.5</v>
      </c>
      <c r="E90" s="477"/>
      <c r="F90" s="366">
        <f t="shared" ref="F90:F146" si="2">F91+D90-E90</f>
        <v>6950.19</v>
      </c>
    </row>
    <row r="91" spans="1:6" ht="14" customHeight="1">
      <c r="A91" s="429">
        <v>45187</v>
      </c>
      <c r="B91" s="428" t="s">
        <v>122</v>
      </c>
      <c r="C91" s="434" t="s">
        <v>577</v>
      </c>
      <c r="D91" s="368">
        <v>33</v>
      </c>
      <c r="E91" s="477"/>
      <c r="F91" s="366">
        <f t="shared" si="2"/>
        <v>6942.69</v>
      </c>
    </row>
    <row r="92" spans="1:6" ht="14" customHeight="1">
      <c r="A92" s="429">
        <v>45187</v>
      </c>
      <c r="B92" s="428" t="s">
        <v>122</v>
      </c>
      <c r="C92" s="434" t="s">
        <v>578</v>
      </c>
      <c r="D92" s="368">
        <v>12</v>
      </c>
      <c r="E92" s="477"/>
      <c r="F92" s="366">
        <f t="shared" si="2"/>
        <v>6909.69</v>
      </c>
    </row>
    <row r="93" spans="1:6" ht="14" customHeight="1">
      <c r="A93" s="429">
        <v>45184</v>
      </c>
      <c r="B93" s="428" t="s">
        <v>124</v>
      </c>
      <c r="C93" s="434" t="s">
        <v>579</v>
      </c>
      <c r="D93" s="368"/>
      <c r="E93" s="477">
        <v>43</v>
      </c>
      <c r="F93" s="366">
        <f t="shared" si="2"/>
        <v>6897.69</v>
      </c>
    </row>
    <row r="94" spans="1:6" ht="14" customHeight="1">
      <c r="A94" s="429">
        <v>45183</v>
      </c>
      <c r="B94" s="428" t="s">
        <v>122</v>
      </c>
      <c r="C94" s="434" t="s">
        <v>404</v>
      </c>
      <c r="D94" s="368">
        <v>23.57</v>
      </c>
      <c r="E94" s="477"/>
      <c r="F94" s="366">
        <f t="shared" si="2"/>
        <v>6940.69</v>
      </c>
    </row>
    <row r="95" spans="1:6" ht="14" customHeight="1">
      <c r="A95" s="429">
        <v>45181</v>
      </c>
      <c r="B95" s="428" t="s">
        <v>122</v>
      </c>
      <c r="C95" s="434" t="s">
        <v>580</v>
      </c>
      <c r="D95" s="368">
        <v>24</v>
      </c>
      <c r="E95" s="477"/>
      <c r="F95" s="366">
        <f t="shared" si="2"/>
        <v>6917.12</v>
      </c>
    </row>
    <row r="96" spans="1:6" ht="14" customHeight="1">
      <c r="A96" s="429">
        <v>45181</v>
      </c>
      <c r="B96" s="428" t="s">
        <v>122</v>
      </c>
      <c r="C96" s="434" t="s">
        <v>581</v>
      </c>
      <c r="D96" s="368">
        <v>22</v>
      </c>
      <c r="E96" s="477"/>
      <c r="F96" s="366">
        <f t="shared" si="2"/>
        <v>6893.12</v>
      </c>
    </row>
    <row r="97" spans="1:6" ht="14" customHeight="1">
      <c r="A97" s="429">
        <v>45180</v>
      </c>
      <c r="B97" s="428" t="s">
        <v>124</v>
      </c>
      <c r="C97" s="434" t="s">
        <v>582</v>
      </c>
      <c r="D97" s="368"/>
      <c r="E97" s="477">
        <v>45</v>
      </c>
      <c r="F97" s="366">
        <f t="shared" si="2"/>
        <v>6871.12</v>
      </c>
    </row>
    <row r="98" spans="1:6" ht="14" customHeight="1">
      <c r="A98" s="429">
        <v>45177</v>
      </c>
      <c r="B98" s="428" t="s">
        <v>122</v>
      </c>
      <c r="C98" s="434" t="s">
        <v>404</v>
      </c>
      <c r="D98" s="368">
        <v>35.36</v>
      </c>
      <c r="E98" s="477"/>
      <c r="F98" s="366">
        <f t="shared" si="2"/>
        <v>6916.12</v>
      </c>
    </row>
    <row r="99" spans="1:6" ht="14" customHeight="1">
      <c r="A99" s="429">
        <v>45176</v>
      </c>
      <c r="B99" s="428" t="s">
        <v>497</v>
      </c>
      <c r="C99" s="434" t="s">
        <v>583</v>
      </c>
      <c r="D99" s="368">
        <v>12</v>
      </c>
      <c r="E99" s="477"/>
      <c r="F99" s="366">
        <f t="shared" si="2"/>
        <v>6880.76</v>
      </c>
    </row>
    <row r="100" spans="1:6" ht="14" customHeight="1">
      <c r="A100" s="429">
        <v>45174</v>
      </c>
      <c r="B100" s="428" t="s">
        <v>149</v>
      </c>
      <c r="C100" s="434" t="s">
        <v>584</v>
      </c>
      <c r="D100" s="368"/>
      <c r="E100" s="477">
        <v>75</v>
      </c>
      <c r="F100" s="366">
        <f t="shared" si="2"/>
        <v>6868.76</v>
      </c>
    </row>
    <row r="101" spans="1:6" ht="14" customHeight="1">
      <c r="A101" s="429">
        <v>45167</v>
      </c>
      <c r="B101" s="428" t="s">
        <v>124</v>
      </c>
      <c r="C101" s="434" t="s">
        <v>585</v>
      </c>
      <c r="D101" s="368"/>
      <c r="E101" s="477">
        <v>40.5</v>
      </c>
      <c r="F101" s="366">
        <f t="shared" si="2"/>
        <v>6943.76</v>
      </c>
    </row>
    <row r="102" spans="1:6" ht="14" customHeight="1">
      <c r="A102" s="429">
        <v>45167</v>
      </c>
      <c r="B102" s="428" t="s">
        <v>124</v>
      </c>
      <c r="C102" s="434" t="s">
        <v>586</v>
      </c>
      <c r="D102" s="368"/>
      <c r="E102" s="477">
        <v>132.04</v>
      </c>
      <c r="F102" s="366">
        <f t="shared" si="2"/>
        <v>6984.26</v>
      </c>
    </row>
    <row r="103" spans="1:6" ht="14" customHeight="1">
      <c r="A103" s="429">
        <v>45167</v>
      </c>
      <c r="B103" s="428" t="s">
        <v>122</v>
      </c>
      <c r="C103" s="434" t="s">
        <v>587</v>
      </c>
      <c r="D103" s="368">
        <v>6</v>
      </c>
      <c r="E103" s="477"/>
      <c r="F103" s="366">
        <f t="shared" si="2"/>
        <v>7116.3</v>
      </c>
    </row>
    <row r="104" spans="1:6" ht="14" customHeight="1">
      <c r="A104" s="429">
        <v>45167</v>
      </c>
      <c r="B104" s="428" t="s">
        <v>122</v>
      </c>
      <c r="C104" s="434" t="s">
        <v>588</v>
      </c>
      <c r="D104" s="368">
        <v>100</v>
      </c>
      <c r="E104" s="477"/>
      <c r="F104" s="366">
        <f t="shared" si="2"/>
        <v>7110.3</v>
      </c>
    </row>
    <row r="105" spans="1:6" ht="14" customHeight="1">
      <c r="A105" s="429">
        <v>45155</v>
      </c>
      <c r="B105" s="428" t="s">
        <v>124</v>
      </c>
      <c r="C105" s="434" t="s">
        <v>589</v>
      </c>
      <c r="D105" s="368"/>
      <c r="E105" s="477">
        <v>200</v>
      </c>
      <c r="F105" s="366">
        <f t="shared" si="2"/>
        <v>7010.3</v>
      </c>
    </row>
    <row r="106" spans="1:6" ht="14" customHeight="1">
      <c r="A106" s="429">
        <v>45154</v>
      </c>
      <c r="B106" s="428" t="s">
        <v>122</v>
      </c>
      <c r="C106" s="434" t="s">
        <v>404</v>
      </c>
      <c r="D106" s="368">
        <v>11.79</v>
      </c>
      <c r="E106" s="477"/>
      <c r="F106" s="366">
        <f t="shared" si="2"/>
        <v>7210.3</v>
      </c>
    </row>
    <row r="107" spans="1:6" ht="14" customHeight="1">
      <c r="A107" s="429">
        <v>45146</v>
      </c>
      <c r="B107" s="428" t="s">
        <v>124</v>
      </c>
      <c r="C107" s="434" t="s">
        <v>590</v>
      </c>
      <c r="D107" s="368"/>
      <c r="E107" s="477">
        <v>176</v>
      </c>
      <c r="F107" s="366">
        <f t="shared" si="2"/>
        <v>7198.51</v>
      </c>
    </row>
    <row r="108" spans="1:6" ht="14" customHeight="1">
      <c r="A108" s="429">
        <v>45145</v>
      </c>
      <c r="B108" s="428" t="s">
        <v>149</v>
      </c>
      <c r="C108" s="434" t="s">
        <v>591</v>
      </c>
      <c r="D108" s="368"/>
      <c r="E108" s="477">
        <v>75</v>
      </c>
      <c r="F108" s="366">
        <f t="shared" si="2"/>
        <v>7374.51</v>
      </c>
    </row>
    <row r="109" spans="1:6" ht="14" customHeight="1">
      <c r="A109" s="429">
        <v>45131</v>
      </c>
      <c r="B109" s="428" t="s">
        <v>122</v>
      </c>
      <c r="C109" s="434" t="s">
        <v>592</v>
      </c>
      <c r="D109" s="368">
        <v>140</v>
      </c>
      <c r="E109" s="477"/>
      <c r="F109" s="366">
        <f t="shared" si="2"/>
        <v>7449.51</v>
      </c>
    </row>
    <row r="110" spans="1:6" ht="14" customHeight="1">
      <c r="A110" s="429">
        <v>45125</v>
      </c>
      <c r="B110" s="428" t="s">
        <v>122</v>
      </c>
      <c r="C110" s="434" t="s">
        <v>593</v>
      </c>
      <c r="D110" s="368">
        <v>127</v>
      </c>
      <c r="E110" s="477"/>
      <c r="F110" s="366">
        <f t="shared" si="2"/>
        <v>7309.51</v>
      </c>
    </row>
    <row r="111" spans="1:6" ht="14" customHeight="1">
      <c r="A111" s="429">
        <v>45125</v>
      </c>
      <c r="B111" s="428" t="s">
        <v>122</v>
      </c>
      <c r="C111" s="434" t="s">
        <v>594</v>
      </c>
      <c r="D111" s="368">
        <v>30</v>
      </c>
      <c r="E111" s="477"/>
      <c r="F111" s="366">
        <f t="shared" si="2"/>
        <v>7182.51</v>
      </c>
    </row>
    <row r="112" spans="1:6" ht="14" customHeight="1">
      <c r="A112" s="429">
        <v>45118</v>
      </c>
      <c r="B112" s="428" t="s">
        <v>124</v>
      </c>
      <c r="C112" s="434" t="s">
        <v>595</v>
      </c>
      <c r="D112" s="368"/>
      <c r="E112" s="477">
        <v>177.68</v>
      </c>
      <c r="F112" s="366">
        <f t="shared" si="2"/>
        <v>7152.51</v>
      </c>
    </row>
    <row r="113" spans="1:6" ht="14" customHeight="1">
      <c r="A113" s="429">
        <v>45112</v>
      </c>
      <c r="B113" s="428" t="s">
        <v>149</v>
      </c>
      <c r="C113" s="434" t="s">
        <v>596</v>
      </c>
      <c r="D113" s="368"/>
      <c r="E113" s="477">
        <v>75</v>
      </c>
      <c r="F113" s="366">
        <f t="shared" si="2"/>
        <v>7330.1900000000005</v>
      </c>
    </row>
    <row r="114" spans="1:6" ht="14" customHeight="1">
      <c r="A114" s="429">
        <v>45110</v>
      </c>
      <c r="B114" s="428" t="s">
        <v>149</v>
      </c>
      <c r="C114" s="434" t="s">
        <v>597</v>
      </c>
      <c r="D114" s="368"/>
      <c r="E114" s="477">
        <v>50</v>
      </c>
      <c r="F114" s="366">
        <f t="shared" si="2"/>
        <v>7405.1900000000005</v>
      </c>
    </row>
    <row r="115" spans="1:6" ht="14" customHeight="1">
      <c r="A115" s="429">
        <v>45107</v>
      </c>
      <c r="B115" s="428" t="s">
        <v>124</v>
      </c>
      <c r="C115" s="434" t="s">
        <v>598</v>
      </c>
      <c r="D115" s="368"/>
      <c r="E115" s="477">
        <v>173.77</v>
      </c>
      <c r="F115" s="366">
        <f t="shared" si="2"/>
        <v>7455.1900000000005</v>
      </c>
    </row>
    <row r="116" spans="1:6" ht="14" customHeight="1">
      <c r="A116" s="429">
        <v>45091</v>
      </c>
      <c r="B116" s="428" t="s">
        <v>124</v>
      </c>
      <c r="C116" s="434" t="s">
        <v>599</v>
      </c>
      <c r="D116" s="368"/>
      <c r="E116" s="477">
        <v>24.84</v>
      </c>
      <c r="F116" s="366">
        <f t="shared" si="2"/>
        <v>7628.9600000000009</v>
      </c>
    </row>
    <row r="117" spans="1:6" ht="14" customHeight="1">
      <c r="A117" s="429">
        <v>45091</v>
      </c>
      <c r="B117" s="428" t="s">
        <v>122</v>
      </c>
      <c r="C117" s="434" t="s">
        <v>404</v>
      </c>
      <c r="D117" s="368">
        <v>633.5</v>
      </c>
      <c r="E117" s="477"/>
      <c r="F117" s="366">
        <f t="shared" si="2"/>
        <v>7653.8000000000011</v>
      </c>
    </row>
    <row r="118" spans="1:6" ht="14" customHeight="1">
      <c r="A118" s="429">
        <v>45091</v>
      </c>
      <c r="B118" s="428" t="s">
        <v>122</v>
      </c>
      <c r="C118" s="434" t="s">
        <v>600</v>
      </c>
      <c r="D118" s="368">
        <v>31</v>
      </c>
      <c r="E118" s="477"/>
      <c r="F118" s="366">
        <f t="shared" si="2"/>
        <v>7020.3000000000011</v>
      </c>
    </row>
    <row r="119" spans="1:6" ht="14" customHeight="1">
      <c r="A119" s="429">
        <v>45091</v>
      </c>
      <c r="B119" s="428" t="s">
        <v>122</v>
      </c>
      <c r="C119" s="434" t="s">
        <v>601</v>
      </c>
      <c r="D119" s="368">
        <v>48</v>
      </c>
      <c r="E119" s="477"/>
      <c r="F119" s="366">
        <f t="shared" si="2"/>
        <v>6989.3000000000011</v>
      </c>
    </row>
    <row r="120" spans="1:6" ht="14" customHeight="1">
      <c r="A120" s="429">
        <v>45091</v>
      </c>
      <c r="B120" s="428" t="s">
        <v>122</v>
      </c>
      <c r="C120" s="434" t="s">
        <v>602</v>
      </c>
      <c r="D120" s="368">
        <v>44</v>
      </c>
      <c r="E120" s="477"/>
      <c r="F120" s="366">
        <f t="shared" si="2"/>
        <v>6941.3000000000011</v>
      </c>
    </row>
    <row r="121" spans="1:6" ht="14" customHeight="1">
      <c r="A121" s="429">
        <v>45091</v>
      </c>
      <c r="B121" s="428" t="s">
        <v>122</v>
      </c>
      <c r="C121" s="434" t="s">
        <v>603</v>
      </c>
      <c r="D121" s="368">
        <v>4</v>
      </c>
      <c r="E121" s="477"/>
      <c r="F121" s="366">
        <f t="shared" si="2"/>
        <v>6897.3000000000011</v>
      </c>
    </row>
    <row r="122" spans="1:6" ht="14" customHeight="1">
      <c r="A122" s="429">
        <v>45091</v>
      </c>
      <c r="B122" s="428" t="s">
        <v>122</v>
      </c>
      <c r="C122" s="434" t="s">
        <v>604</v>
      </c>
      <c r="D122" s="368">
        <v>20</v>
      </c>
      <c r="E122" s="477"/>
      <c r="F122" s="366">
        <f t="shared" si="2"/>
        <v>6893.3000000000011</v>
      </c>
    </row>
    <row r="123" spans="1:6" ht="14" customHeight="1">
      <c r="A123" s="429">
        <v>45091</v>
      </c>
      <c r="B123" s="428" t="s">
        <v>122</v>
      </c>
      <c r="C123" s="434" t="s">
        <v>605</v>
      </c>
      <c r="D123" s="368">
        <v>210</v>
      </c>
      <c r="E123" s="477"/>
      <c r="F123" s="366">
        <f t="shared" si="2"/>
        <v>6873.3000000000011</v>
      </c>
    </row>
    <row r="124" spans="1:6" ht="14" customHeight="1">
      <c r="A124" s="429">
        <v>45090</v>
      </c>
      <c r="B124" s="428" t="s">
        <v>124</v>
      </c>
      <c r="C124" s="434" t="s">
        <v>606</v>
      </c>
      <c r="D124" s="368"/>
      <c r="E124" s="477">
        <v>600</v>
      </c>
      <c r="F124" s="366">
        <f t="shared" si="2"/>
        <v>6663.3000000000011</v>
      </c>
    </row>
    <row r="125" spans="1:6" ht="14" customHeight="1">
      <c r="A125" s="429">
        <v>45084</v>
      </c>
      <c r="B125" s="428" t="s">
        <v>122</v>
      </c>
      <c r="C125" s="434" t="s">
        <v>404</v>
      </c>
      <c r="D125" s="368">
        <v>64.83</v>
      </c>
      <c r="E125" s="477"/>
      <c r="F125" s="366">
        <f t="shared" si="2"/>
        <v>7263.3000000000011</v>
      </c>
    </row>
    <row r="126" spans="1:6" ht="14" customHeight="1">
      <c r="A126" s="429">
        <v>45083</v>
      </c>
      <c r="B126" s="428" t="s">
        <v>122</v>
      </c>
      <c r="C126" s="434" t="s">
        <v>607</v>
      </c>
      <c r="D126" s="368">
        <v>70</v>
      </c>
      <c r="E126" s="477"/>
      <c r="F126" s="366">
        <f t="shared" si="2"/>
        <v>7198.4700000000012</v>
      </c>
    </row>
    <row r="127" spans="1:6" ht="14" customHeight="1">
      <c r="A127" s="429">
        <v>45082</v>
      </c>
      <c r="B127" s="428" t="s">
        <v>149</v>
      </c>
      <c r="C127" s="434" t="s">
        <v>608</v>
      </c>
      <c r="D127" s="368"/>
      <c r="E127" s="477">
        <v>75</v>
      </c>
      <c r="F127" s="366">
        <f t="shared" si="2"/>
        <v>7128.4700000000012</v>
      </c>
    </row>
    <row r="128" spans="1:6" ht="14" customHeight="1">
      <c r="A128" s="429">
        <v>45082</v>
      </c>
      <c r="B128" s="428" t="s">
        <v>153</v>
      </c>
      <c r="C128" s="434" t="s">
        <v>609</v>
      </c>
      <c r="D128" s="368"/>
      <c r="E128" s="477">
        <v>448</v>
      </c>
      <c r="F128" s="366">
        <f t="shared" si="2"/>
        <v>7203.4700000000012</v>
      </c>
    </row>
    <row r="129" spans="1:6" ht="14" customHeight="1">
      <c r="A129" s="429">
        <v>45079</v>
      </c>
      <c r="B129" s="428" t="s">
        <v>124</v>
      </c>
      <c r="C129" s="434" t="s">
        <v>610</v>
      </c>
      <c r="D129" s="368"/>
      <c r="E129" s="477">
        <v>226.28</v>
      </c>
      <c r="F129" s="366">
        <f t="shared" si="2"/>
        <v>7651.4700000000012</v>
      </c>
    </row>
    <row r="130" spans="1:6" ht="14" customHeight="1">
      <c r="A130" s="429">
        <v>45079</v>
      </c>
      <c r="B130" s="428" t="s">
        <v>124</v>
      </c>
      <c r="C130" s="434" t="s">
        <v>611</v>
      </c>
      <c r="D130" s="368"/>
      <c r="E130" s="477">
        <v>281.7</v>
      </c>
      <c r="F130" s="366">
        <f t="shared" si="2"/>
        <v>7877.7500000000009</v>
      </c>
    </row>
    <row r="131" spans="1:6" ht="14" customHeight="1">
      <c r="A131" s="429">
        <v>45072</v>
      </c>
      <c r="B131" s="428" t="s">
        <v>153</v>
      </c>
      <c r="C131" s="434" t="s">
        <v>612</v>
      </c>
      <c r="D131" s="368"/>
      <c r="E131" s="477">
        <v>21</v>
      </c>
      <c r="F131" s="366">
        <f t="shared" si="2"/>
        <v>8159.4500000000007</v>
      </c>
    </row>
    <row r="132" spans="1:6" ht="14" customHeight="1">
      <c r="A132" s="429">
        <v>45072</v>
      </c>
      <c r="B132" s="428" t="s">
        <v>124</v>
      </c>
      <c r="C132" s="434" t="s">
        <v>613</v>
      </c>
      <c r="D132" s="368"/>
      <c r="E132" s="477">
        <v>79.069999999999993</v>
      </c>
      <c r="F132" s="366">
        <f t="shared" si="2"/>
        <v>8180.4500000000007</v>
      </c>
    </row>
    <row r="133" spans="1:6" ht="14" customHeight="1">
      <c r="A133" s="429">
        <v>45070</v>
      </c>
      <c r="B133" s="428" t="s">
        <v>122</v>
      </c>
      <c r="C133" s="434" t="s">
        <v>614</v>
      </c>
      <c r="D133" s="368">
        <v>500</v>
      </c>
      <c r="E133" s="477"/>
      <c r="F133" s="366">
        <f t="shared" si="2"/>
        <v>8259.52</v>
      </c>
    </row>
    <row r="134" spans="1:6" ht="14" customHeight="1">
      <c r="A134" s="429">
        <v>45070</v>
      </c>
      <c r="B134" s="428" t="s">
        <v>122</v>
      </c>
      <c r="C134" s="434" t="s">
        <v>615</v>
      </c>
      <c r="D134" s="368">
        <v>100</v>
      </c>
      <c r="E134" s="477"/>
      <c r="F134" s="366">
        <f t="shared" si="2"/>
        <v>7759.52</v>
      </c>
    </row>
    <row r="135" spans="1:6" ht="14" customHeight="1">
      <c r="A135" s="429">
        <v>45068</v>
      </c>
      <c r="B135" s="428" t="s">
        <v>122</v>
      </c>
      <c r="C135" s="434" t="s">
        <v>616</v>
      </c>
      <c r="D135" s="368">
        <v>193</v>
      </c>
      <c r="E135" s="477"/>
      <c r="F135" s="366">
        <f t="shared" si="2"/>
        <v>7659.52</v>
      </c>
    </row>
    <row r="136" spans="1:6" ht="14" customHeight="1">
      <c r="A136" s="429">
        <v>45068</v>
      </c>
      <c r="B136" s="428" t="s">
        <v>122</v>
      </c>
      <c r="C136" s="434" t="s">
        <v>617</v>
      </c>
      <c r="D136" s="368">
        <v>36</v>
      </c>
      <c r="E136" s="477"/>
      <c r="F136" s="366">
        <f t="shared" si="2"/>
        <v>7466.52</v>
      </c>
    </row>
    <row r="137" spans="1:6" ht="14" customHeight="1">
      <c r="A137" s="429">
        <v>45056</v>
      </c>
      <c r="B137" s="428" t="s">
        <v>124</v>
      </c>
      <c r="C137" s="434" t="s">
        <v>618</v>
      </c>
      <c r="D137" s="368">
        <v>11.8</v>
      </c>
      <c r="E137" s="477"/>
      <c r="F137" s="366">
        <f t="shared" si="2"/>
        <v>7430.52</v>
      </c>
    </row>
    <row r="138" spans="1:6" ht="14" customHeight="1">
      <c r="A138" s="429">
        <v>45051</v>
      </c>
      <c r="B138" s="428" t="s">
        <v>149</v>
      </c>
      <c r="C138" s="434" t="s">
        <v>619</v>
      </c>
      <c r="D138" s="368"/>
      <c r="E138" s="477">
        <v>75</v>
      </c>
      <c r="F138" s="366">
        <f t="shared" si="2"/>
        <v>7418.72</v>
      </c>
    </row>
    <row r="139" spans="1:6" ht="14" customHeight="1">
      <c r="A139" s="429">
        <v>45051</v>
      </c>
      <c r="B139" s="428" t="s">
        <v>122</v>
      </c>
      <c r="C139" s="434" t="s">
        <v>404</v>
      </c>
      <c r="D139" s="368">
        <v>29.47</v>
      </c>
      <c r="E139" s="477"/>
      <c r="F139" s="366">
        <f t="shared" si="2"/>
        <v>7493.72</v>
      </c>
    </row>
    <row r="140" spans="1:6" ht="14" customHeight="1">
      <c r="A140" s="429">
        <v>45049</v>
      </c>
      <c r="B140" s="428" t="s">
        <v>122</v>
      </c>
      <c r="C140" s="434" t="s">
        <v>404</v>
      </c>
      <c r="D140" s="368">
        <v>56.97</v>
      </c>
      <c r="E140" s="477"/>
      <c r="F140" s="366">
        <f t="shared" si="2"/>
        <v>7464.25</v>
      </c>
    </row>
    <row r="141" spans="1:6" ht="14" customHeight="1">
      <c r="A141" s="429">
        <v>45048</v>
      </c>
      <c r="B141" s="428" t="s">
        <v>124</v>
      </c>
      <c r="C141" s="434" t="s">
        <v>620</v>
      </c>
      <c r="D141" s="368"/>
      <c r="E141" s="477">
        <v>72.5</v>
      </c>
      <c r="F141" s="366">
        <f t="shared" si="2"/>
        <v>7407.28</v>
      </c>
    </row>
    <row r="142" spans="1:6" ht="14" customHeight="1">
      <c r="A142" s="429">
        <v>45043</v>
      </c>
      <c r="B142" s="428" t="s">
        <v>124</v>
      </c>
      <c r="C142" s="434" t="s">
        <v>621</v>
      </c>
      <c r="D142" s="368"/>
      <c r="E142" s="477">
        <v>215.91</v>
      </c>
      <c r="F142" s="366">
        <f t="shared" si="2"/>
        <v>7479.78</v>
      </c>
    </row>
    <row r="143" spans="1:6" ht="14" customHeight="1">
      <c r="A143" s="429">
        <v>45036</v>
      </c>
      <c r="B143" s="428" t="s">
        <v>122</v>
      </c>
      <c r="C143" s="434" t="s">
        <v>622</v>
      </c>
      <c r="D143" s="368">
        <v>1916.96</v>
      </c>
      <c r="E143" s="477"/>
      <c r="F143" s="366">
        <f t="shared" si="2"/>
        <v>7695.69</v>
      </c>
    </row>
    <row r="144" spans="1:6" ht="14" customHeight="1">
      <c r="A144" s="429">
        <v>45021</v>
      </c>
      <c r="B144" s="428" t="s">
        <v>149</v>
      </c>
      <c r="C144" s="434" t="s">
        <v>623</v>
      </c>
      <c r="D144" s="368"/>
      <c r="E144" s="477">
        <v>75</v>
      </c>
      <c r="F144" s="366">
        <f t="shared" si="2"/>
        <v>5778.73</v>
      </c>
    </row>
    <row r="145" spans="1:6" ht="14" customHeight="1">
      <c r="A145" s="429">
        <v>45021</v>
      </c>
      <c r="B145" s="428" t="s">
        <v>124</v>
      </c>
      <c r="C145" s="434" t="s">
        <v>624</v>
      </c>
      <c r="D145" s="368"/>
      <c r="E145" s="477">
        <v>12</v>
      </c>
      <c r="F145" s="366">
        <f>F146+D145-E145</f>
        <v>5853.73</v>
      </c>
    </row>
    <row r="146" spans="1:6" ht="14" customHeight="1">
      <c r="A146" s="429">
        <v>45019</v>
      </c>
      <c r="B146" s="428" t="s">
        <v>149</v>
      </c>
      <c r="C146" s="434" t="s">
        <v>625</v>
      </c>
      <c r="D146" s="368"/>
      <c r="E146" s="477">
        <v>50</v>
      </c>
      <c r="F146" s="366">
        <f t="shared" si="2"/>
        <v>5865.73</v>
      </c>
    </row>
    <row r="147" spans="1:6" ht="14" customHeight="1">
      <c r="A147" s="429">
        <v>45016</v>
      </c>
      <c r="B147" s="428" t="s">
        <v>124</v>
      </c>
      <c r="C147" s="434" t="s">
        <v>626</v>
      </c>
      <c r="D147" s="368"/>
      <c r="E147" s="477">
        <v>15.6</v>
      </c>
      <c r="F147" s="366">
        <f>F148+D147-E147</f>
        <v>5915.73</v>
      </c>
    </row>
    <row r="148" spans="1:6" ht="14" customHeight="1">
      <c r="A148" s="429">
        <v>45016</v>
      </c>
      <c r="B148" s="428" t="s">
        <v>132</v>
      </c>
      <c r="C148" s="434">
        <v>100356</v>
      </c>
      <c r="D148" s="435">
        <v>20.2</v>
      </c>
      <c r="E148" s="477"/>
      <c r="F148" s="366">
        <f>F151+D148-E148</f>
        <v>5931.33</v>
      </c>
    </row>
    <row r="149" spans="1:6" ht="14" customHeight="1">
      <c r="A149" s="429"/>
      <c r="B149" s="428"/>
      <c r="C149" s="434"/>
      <c r="D149" s="368"/>
      <c r="E149" s="477"/>
      <c r="F149" s="366"/>
    </row>
    <row r="150" spans="1:6" ht="14" customHeight="1">
      <c r="A150" s="429"/>
      <c r="B150" s="428"/>
      <c r="C150" s="434"/>
      <c r="D150" s="368"/>
      <c r="E150" s="477"/>
      <c r="F150" s="366"/>
    </row>
    <row r="151" spans="1:6" ht="14" customHeight="1">
      <c r="A151" s="429"/>
      <c r="B151" s="428"/>
      <c r="C151" s="434" t="s">
        <v>385</v>
      </c>
      <c r="D151" s="366"/>
      <c r="E151" s="368"/>
      <c r="F151" s="377">
        <v>5911.13</v>
      </c>
    </row>
    <row r="152" spans="1:6" ht="14" customHeight="1">
      <c r="A152" s="429"/>
      <c r="B152" s="428"/>
      <c r="C152" s="434"/>
      <c r="D152" s="368"/>
      <c r="E152" s="477"/>
      <c r="F152" s="366"/>
    </row>
    <row r="153" spans="1:6" ht="14" customHeight="1">
      <c r="A153" s="427" t="s">
        <v>627</v>
      </c>
      <c r="B153" s="428"/>
      <c r="C153" s="434"/>
      <c r="D153" s="368"/>
      <c r="E153" s="477"/>
      <c r="F153" s="366"/>
    </row>
    <row r="154" spans="1:6" ht="14" customHeight="1">
      <c r="A154" s="429"/>
      <c r="B154" s="428"/>
      <c r="C154" s="434"/>
      <c r="D154" s="368"/>
      <c r="E154" s="477"/>
      <c r="F154" s="366"/>
    </row>
    <row r="155" spans="1:6">
      <c r="A155" s="429">
        <v>45379</v>
      </c>
      <c r="B155" s="428" t="s">
        <v>109</v>
      </c>
      <c r="C155" s="434" t="s">
        <v>628</v>
      </c>
      <c r="D155" s="368">
        <v>64.48</v>
      </c>
      <c r="E155" s="477"/>
      <c r="F155" s="475">
        <f t="shared" ref="F155:F157" si="3">F156+D155-E155</f>
        <v>20222.5</v>
      </c>
    </row>
    <row r="156" spans="1:6">
      <c r="A156" s="429">
        <v>45351</v>
      </c>
      <c r="B156" s="428" t="s">
        <v>109</v>
      </c>
      <c r="C156" s="434" t="s">
        <v>629</v>
      </c>
      <c r="D156" s="368">
        <v>66.569999999999993</v>
      </c>
      <c r="E156" s="477"/>
      <c r="F156" s="366">
        <f t="shared" si="3"/>
        <v>20158.02</v>
      </c>
    </row>
    <row r="157" spans="1:6">
      <c r="A157" s="429">
        <v>45322</v>
      </c>
      <c r="B157" s="428" t="s">
        <v>109</v>
      </c>
      <c r="C157" s="434" t="s">
        <v>630</v>
      </c>
      <c r="D157" s="368">
        <v>75.459999999999994</v>
      </c>
      <c r="E157" s="477"/>
      <c r="F157" s="366">
        <f t="shared" si="3"/>
        <v>20091.45</v>
      </c>
    </row>
    <row r="158" spans="1:6">
      <c r="A158" s="429">
        <v>45289</v>
      </c>
      <c r="B158" s="428" t="s">
        <v>109</v>
      </c>
      <c r="C158" s="434" t="s">
        <v>631</v>
      </c>
      <c r="D158" s="368">
        <v>15.99</v>
      </c>
      <c r="E158" s="477"/>
      <c r="F158" s="366">
        <f>F159+D158-E158</f>
        <v>20015.990000000002</v>
      </c>
    </row>
    <row r="159" spans="1:6">
      <c r="A159" s="429">
        <v>45282</v>
      </c>
      <c r="B159" s="428"/>
      <c r="C159" s="434" t="s">
        <v>632</v>
      </c>
      <c r="D159" s="368">
        <v>20000</v>
      </c>
      <c r="E159" s="477"/>
      <c r="F159" s="366">
        <f>F161+D159-E159</f>
        <v>20000</v>
      </c>
    </row>
    <row r="160" spans="1:6">
      <c r="A160" s="429"/>
      <c r="B160" s="428"/>
      <c r="C160" s="434"/>
      <c r="D160" s="368"/>
      <c r="E160" s="477"/>
      <c r="F160" s="366"/>
    </row>
    <row r="161" spans="1:6">
      <c r="A161" s="429"/>
      <c r="B161" s="428"/>
      <c r="C161" s="434" t="s">
        <v>385</v>
      </c>
      <c r="D161" s="366"/>
      <c r="E161" s="368"/>
      <c r="F161" s="377">
        <v>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8"/>
  <sheetViews>
    <sheetView showGridLines="0" workbookViewId="0">
      <pane ySplit="4" topLeftCell="A26" activePane="bottomLeft" state="frozen"/>
      <selection pane="bottomLeft" activeCell="H52" sqref="H52"/>
    </sheetView>
  </sheetViews>
  <sheetFormatPr baseColWidth="10" defaultColWidth="16.33203125" defaultRowHeight="14" customHeight="1"/>
  <cols>
    <col min="1" max="1" width="11" style="1" customWidth="1"/>
    <col min="2" max="2" width="7.33203125" style="1" customWidth="1"/>
    <col min="3" max="3" width="14.83203125" style="1" customWidth="1"/>
    <col min="4" max="4" width="8" style="1" customWidth="1"/>
    <col min="5" max="5" width="13.6640625" style="1" customWidth="1"/>
    <col min="6" max="6" width="7.6640625" style="1" customWidth="1"/>
    <col min="7" max="7" width="8" style="1" customWidth="1"/>
    <col min="8" max="8" width="6.33203125" style="1" customWidth="1"/>
    <col min="9" max="9" width="5.33203125" style="1" customWidth="1"/>
    <col min="10" max="10" width="4.83203125" style="1" customWidth="1"/>
    <col min="11" max="11" width="5.5" style="1" customWidth="1"/>
    <col min="12" max="12" width="6.33203125" style="1" customWidth="1"/>
    <col min="13" max="13" width="5.83203125" style="1" customWidth="1"/>
    <col min="14" max="15" width="6.33203125" style="1" customWidth="1"/>
    <col min="16" max="16" width="5.6640625" style="1" customWidth="1"/>
    <col min="17" max="17" width="6.33203125" style="1" customWidth="1"/>
    <col min="18" max="18" width="4.33203125" style="1" customWidth="1"/>
    <col min="19" max="19" width="5.83203125" style="1" customWidth="1"/>
    <col min="20" max="21" width="6.5" style="1" customWidth="1"/>
    <col min="22" max="22" width="16.33203125" style="1" customWidth="1"/>
    <col min="23" max="16384" width="16.33203125" style="1"/>
  </cols>
  <sheetData>
    <row r="1" spans="1:21" ht="17.25" customHeight="1">
      <c r="A1" s="589" t="s">
        <v>108</v>
      </c>
      <c r="B1" s="590"/>
      <c r="C1" s="591"/>
      <c r="D1" s="591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133"/>
    </row>
    <row r="2" spans="1:21" ht="14.75" customHeight="1">
      <c r="A2" s="134"/>
      <c r="B2" s="70"/>
      <c r="C2" s="71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4.75" customHeight="1">
      <c r="A3" s="135"/>
      <c r="B3" s="604" t="s">
        <v>63</v>
      </c>
      <c r="C3" s="594"/>
      <c r="D3" s="74"/>
      <c r="E3" s="72"/>
      <c r="F3" s="76" t="s">
        <v>64</v>
      </c>
      <c r="G3" s="76" t="s">
        <v>65</v>
      </c>
      <c r="H3" s="76" t="s">
        <v>66</v>
      </c>
      <c r="I3" s="72"/>
      <c r="J3" s="72"/>
      <c r="K3" s="72"/>
      <c r="L3" s="72"/>
      <c r="M3" s="76" t="s">
        <v>16</v>
      </c>
      <c r="N3" s="76"/>
      <c r="O3" s="76"/>
      <c r="P3" s="72"/>
      <c r="Q3" s="72"/>
      <c r="R3" s="72"/>
      <c r="S3" s="72"/>
      <c r="T3" s="72"/>
      <c r="U3" s="72"/>
    </row>
    <row r="4" spans="1:21" ht="26.75" customHeight="1">
      <c r="A4" s="77"/>
      <c r="B4" s="77"/>
      <c r="C4" s="136"/>
      <c r="D4" s="137"/>
      <c r="E4" s="79"/>
      <c r="F4" s="79"/>
      <c r="G4" s="79"/>
      <c r="H4" s="78" t="s">
        <v>71</v>
      </c>
      <c r="I4" s="78" t="s">
        <v>10</v>
      </c>
      <c r="J4" s="78" t="s">
        <v>72</v>
      </c>
      <c r="K4" s="78" t="s">
        <v>73</v>
      </c>
      <c r="L4" s="78" t="s">
        <v>15</v>
      </c>
      <c r="M4" s="78" t="s">
        <v>13</v>
      </c>
      <c r="N4" s="78" t="s">
        <v>74</v>
      </c>
      <c r="O4" s="78" t="s">
        <v>17</v>
      </c>
      <c r="P4" s="78" t="s">
        <v>37</v>
      </c>
      <c r="Q4" s="78" t="s">
        <v>21</v>
      </c>
      <c r="R4" s="78" t="s">
        <v>22</v>
      </c>
      <c r="S4" s="78" t="s">
        <v>75</v>
      </c>
      <c r="T4" s="78" t="s">
        <v>76</v>
      </c>
      <c r="U4" s="78"/>
    </row>
    <row r="5" spans="1:21" ht="12.5" customHeight="1">
      <c r="A5" s="80" t="s">
        <v>105</v>
      </c>
      <c r="B5" s="81"/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25" customHeight="1">
      <c r="A6" s="86">
        <v>44104</v>
      </c>
      <c r="B6" s="87" t="s">
        <v>109</v>
      </c>
      <c r="C6" s="88" t="s">
        <v>110</v>
      </c>
      <c r="D6" s="89">
        <v>0.14000000000000001</v>
      </c>
      <c r="E6" s="90"/>
      <c r="F6" s="91">
        <f t="shared" ref="F6:F17" si="0">D6</f>
        <v>0.14000000000000001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25" customHeight="1">
      <c r="A7" s="86">
        <v>44071</v>
      </c>
      <c r="B7" s="87" t="s">
        <v>109</v>
      </c>
      <c r="C7" s="88" t="s">
        <v>111</v>
      </c>
      <c r="D7" s="89">
        <v>0.12</v>
      </c>
      <c r="E7" s="90"/>
      <c r="F7" s="91">
        <f t="shared" si="0"/>
        <v>0.12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12.25" customHeight="1">
      <c r="A8" s="86">
        <v>44043</v>
      </c>
      <c r="B8" s="87" t="s">
        <v>109</v>
      </c>
      <c r="C8" s="88" t="s">
        <v>112</v>
      </c>
      <c r="D8" s="89">
        <v>0.13</v>
      </c>
      <c r="E8" s="90"/>
      <c r="F8" s="91">
        <f t="shared" si="0"/>
        <v>0.13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ht="12.25" customHeight="1">
      <c r="A9" s="86">
        <v>44012</v>
      </c>
      <c r="B9" s="87" t="s">
        <v>109</v>
      </c>
      <c r="C9" s="88" t="s">
        <v>113</v>
      </c>
      <c r="D9" s="89">
        <v>0.14000000000000001</v>
      </c>
      <c r="E9" s="90"/>
      <c r="F9" s="91">
        <f t="shared" si="0"/>
        <v>0.14000000000000001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12.25" customHeight="1">
      <c r="A10" s="86">
        <v>43980</v>
      </c>
      <c r="B10" s="87" t="s">
        <v>109</v>
      </c>
      <c r="C10" s="88" t="s">
        <v>114</v>
      </c>
      <c r="D10" s="89">
        <v>2.4900000000000002</v>
      </c>
      <c r="E10" s="90"/>
      <c r="F10" s="91">
        <f t="shared" si="0"/>
        <v>2.4900000000000002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12.25" customHeight="1">
      <c r="A11" s="86">
        <v>43951</v>
      </c>
      <c r="B11" s="87" t="s">
        <v>109</v>
      </c>
      <c r="C11" s="88" t="s">
        <v>115</v>
      </c>
      <c r="D11" s="89">
        <v>2.71</v>
      </c>
      <c r="E11" s="90"/>
      <c r="F11" s="91">
        <f t="shared" si="0"/>
        <v>2.71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21" ht="12.25" customHeight="1">
      <c r="A12" s="86">
        <v>44286</v>
      </c>
      <c r="B12" s="87" t="s">
        <v>109</v>
      </c>
      <c r="C12" s="88" t="s">
        <v>116</v>
      </c>
      <c r="D12" s="89">
        <v>0.14000000000000001</v>
      </c>
      <c r="E12" s="90"/>
      <c r="F12" s="91">
        <f t="shared" si="0"/>
        <v>0.14000000000000001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2.25" customHeight="1">
      <c r="A13" s="86">
        <v>44253</v>
      </c>
      <c r="B13" s="87" t="s">
        <v>109</v>
      </c>
      <c r="C13" s="88" t="s">
        <v>117</v>
      </c>
      <c r="D13" s="89">
        <v>0.12</v>
      </c>
      <c r="E13" s="90"/>
      <c r="F13" s="91">
        <f t="shared" si="0"/>
        <v>0.12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12.25" customHeight="1">
      <c r="A14" s="86">
        <v>44225</v>
      </c>
      <c r="B14" s="87" t="s">
        <v>109</v>
      </c>
      <c r="C14" s="88" t="s">
        <v>118</v>
      </c>
      <c r="D14" s="92">
        <v>0.12</v>
      </c>
      <c r="E14" s="93"/>
      <c r="F14" s="91">
        <f t="shared" si="0"/>
        <v>0.12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2.25" customHeight="1">
      <c r="A15" s="86">
        <v>44196</v>
      </c>
      <c r="B15" s="87" t="s">
        <v>109</v>
      </c>
      <c r="C15" s="88" t="s">
        <v>119</v>
      </c>
      <c r="D15" s="89">
        <v>0.13</v>
      </c>
      <c r="E15" s="90"/>
      <c r="F15" s="91">
        <f t="shared" si="0"/>
        <v>0.13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12.25" customHeight="1">
      <c r="A16" s="86">
        <v>44165</v>
      </c>
      <c r="B16" s="87" t="s">
        <v>109</v>
      </c>
      <c r="C16" s="88" t="s">
        <v>120</v>
      </c>
      <c r="D16" s="89">
        <v>0.13</v>
      </c>
      <c r="E16" s="90"/>
      <c r="F16" s="91">
        <f t="shared" si="0"/>
        <v>0.13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1:21" ht="12.25" customHeight="1">
      <c r="A17" s="86">
        <v>44134</v>
      </c>
      <c r="B17" s="87" t="s">
        <v>109</v>
      </c>
      <c r="C17" s="88" t="s">
        <v>121</v>
      </c>
      <c r="D17" s="89">
        <v>0.13</v>
      </c>
      <c r="E17" s="90"/>
      <c r="F17" s="91">
        <f t="shared" si="0"/>
        <v>0.13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</row>
    <row r="18" spans="1:21" ht="12.25" customHeight="1">
      <c r="A18" s="86"/>
      <c r="B18" s="87"/>
      <c r="C18" s="88"/>
      <c r="D18" s="92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12.25" customHeight="1">
      <c r="A19" s="86"/>
      <c r="B19" s="87"/>
      <c r="C19" s="88"/>
      <c r="D19" s="89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ht="12.25" customHeight="1">
      <c r="A20" s="95" t="s">
        <v>106</v>
      </c>
      <c r="B20" s="87"/>
      <c r="C20" s="88"/>
      <c r="D20" s="92"/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12.25" customHeight="1">
      <c r="A21" s="86">
        <v>44280</v>
      </c>
      <c r="B21" s="87" t="s">
        <v>122</v>
      </c>
      <c r="C21" s="88" t="s">
        <v>123</v>
      </c>
      <c r="D21" s="92">
        <v>5</v>
      </c>
      <c r="E21" s="96"/>
      <c r="F21" s="94"/>
      <c r="G21" s="94"/>
      <c r="H21" s="94"/>
      <c r="I21" s="94"/>
      <c r="J21" s="94"/>
      <c r="K21" s="94">
        <f>D21</f>
        <v>5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2.25" customHeight="1">
      <c r="A22" s="86">
        <v>44280</v>
      </c>
      <c r="B22" s="87" t="s">
        <v>122</v>
      </c>
      <c r="C22" s="88" t="s">
        <v>123</v>
      </c>
      <c r="D22" s="92">
        <v>8</v>
      </c>
      <c r="E22" s="97"/>
      <c r="F22" s="94"/>
      <c r="G22" s="94"/>
      <c r="H22" s="94">
        <f>D22</f>
        <v>8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2.25" customHeight="1">
      <c r="A23" s="86">
        <v>44256</v>
      </c>
      <c r="B23" s="87" t="s">
        <v>124</v>
      </c>
      <c r="C23" s="88" t="s">
        <v>125</v>
      </c>
      <c r="D23" s="92">
        <v>20</v>
      </c>
      <c r="E23" s="97"/>
      <c r="F23" s="94"/>
      <c r="G23" s="94"/>
      <c r="H23" s="94">
        <v>18</v>
      </c>
      <c r="I23" s="94">
        <v>2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2.25" customHeight="1">
      <c r="A24" s="86">
        <v>44256</v>
      </c>
      <c r="B24" s="87" t="s">
        <v>122</v>
      </c>
      <c r="C24" s="88" t="s">
        <v>123</v>
      </c>
      <c r="D24" s="92">
        <v>10</v>
      </c>
      <c r="E24" s="97"/>
      <c r="F24" s="94"/>
      <c r="G24" s="94"/>
      <c r="H24" s="94"/>
      <c r="I24" s="94"/>
      <c r="J24" s="94"/>
      <c r="K24" s="94">
        <f>D24</f>
        <v>10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ht="12.25" customHeight="1">
      <c r="A25" s="86">
        <v>44188</v>
      </c>
      <c r="B25" s="87" t="s">
        <v>122</v>
      </c>
      <c r="C25" s="88" t="s">
        <v>123</v>
      </c>
      <c r="D25" s="92">
        <v>325</v>
      </c>
      <c r="E25" s="98" t="s">
        <v>126</v>
      </c>
      <c r="F25" s="94"/>
      <c r="G25" s="94"/>
      <c r="H25" s="94"/>
      <c r="I25" s="94"/>
      <c r="J25" s="94"/>
      <c r="K25" s="94"/>
      <c r="L25" s="94"/>
      <c r="M25" s="94"/>
      <c r="N25" s="94">
        <f>D25</f>
        <v>325</v>
      </c>
      <c r="O25" s="94"/>
      <c r="P25" s="94"/>
      <c r="Q25" s="94"/>
      <c r="R25" s="94"/>
      <c r="S25" s="94"/>
      <c r="T25" s="94"/>
      <c r="U25" s="94"/>
    </row>
    <row r="26" spans="1:21" ht="12.25" customHeight="1">
      <c r="A26" s="86">
        <v>44188</v>
      </c>
      <c r="B26" s="87" t="s">
        <v>122</v>
      </c>
      <c r="C26" s="88" t="s">
        <v>123</v>
      </c>
      <c r="D26" s="92">
        <v>103</v>
      </c>
      <c r="E26" s="98" t="s">
        <v>126</v>
      </c>
      <c r="F26" s="94"/>
      <c r="G26" s="94"/>
      <c r="H26" s="94"/>
      <c r="I26" s="94"/>
      <c r="J26" s="94">
        <f>D26</f>
        <v>103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ht="12.25" customHeight="1">
      <c r="A27" s="86">
        <v>44175</v>
      </c>
      <c r="B27" s="87" t="s">
        <v>122</v>
      </c>
      <c r="C27" s="88" t="s">
        <v>127</v>
      </c>
      <c r="D27" s="92">
        <v>50</v>
      </c>
      <c r="E27" s="97"/>
      <c r="F27" s="94"/>
      <c r="G27" s="94"/>
      <c r="H27" s="94"/>
      <c r="I27" s="94">
        <f>D27</f>
        <v>50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12.25" customHeight="1">
      <c r="A28" s="86">
        <v>44153</v>
      </c>
      <c r="B28" s="87" t="s">
        <v>122</v>
      </c>
      <c r="C28" s="88" t="s">
        <v>128</v>
      </c>
      <c r="D28" s="92">
        <v>1000</v>
      </c>
      <c r="E28" s="97"/>
      <c r="F28" s="94"/>
      <c r="G28" s="94"/>
      <c r="H28" s="94"/>
      <c r="I28" s="94"/>
      <c r="J28" s="94"/>
      <c r="K28" s="94"/>
      <c r="L28" s="94">
        <f>D28</f>
        <v>1000</v>
      </c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2.25" customHeight="1">
      <c r="A29" s="86">
        <v>44138</v>
      </c>
      <c r="B29" s="87" t="s">
        <v>124</v>
      </c>
      <c r="C29" s="88" t="s">
        <v>125</v>
      </c>
      <c r="D29" s="92">
        <v>33</v>
      </c>
      <c r="E29" s="138" t="s">
        <v>129</v>
      </c>
      <c r="F29" s="139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40">
        <f>D29</f>
        <v>33</v>
      </c>
      <c r="U29" s="141" t="s">
        <v>130</v>
      </c>
    </row>
    <row r="30" spans="1:21" ht="12.25" customHeight="1">
      <c r="A30" s="86">
        <v>44130</v>
      </c>
      <c r="B30" s="87" t="s">
        <v>122</v>
      </c>
      <c r="C30" s="88" t="s">
        <v>123</v>
      </c>
      <c r="D30" s="92">
        <v>40</v>
      </c>
      <c r="E30" s="98" t="s">
        <v>131</v>
      </c>
      <c r="F30" s="142"/>
      <c r="G30" s="94"/>
      <c r="H30" s="94"/>
      <c r="I30" s="94"/>
      <c r="J30" s="94"/>
      <c r="K30" s="94">
        <f>D30</f>
        <v>40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2.25" customHeight="1">
      <c r="A31" s="86">
        <v>44130</v>
      </c>
      <c r="B31" s="87" t="s">
        <v>122</v>
      </c>
      <c r="C31" s="88" t="s">
        <v>123</v>
      </c>
      <c r="D31" s="92">
        <v>154</v>
      </c>
      <c r="E31" s="98" t="s">
        <v>131</v>
      </c>
      <c r="F31" s="143"/>
      <c r="G31" s="94"/>
      <c r="H31" s="94"/>
      <c r="I31" s="94"/>
      <c r="J31" s="94"/>
      <c r="K31" s="94"/>
      <c r="L31" s="94"/>
      <c r="M31" s="94"/>
      <c r="N31" s="94">
        <f>D31</f>
        <v>154</v>
      </c>
      <c r="O31" s="94"/>
      <c r="P31" s="94"/>
      <c r="Q31" s="94"/>
      <c r="R31" s="94"/>
      <c r="S31" s="94"/>
      <c r="T31" s="94"/>
      <c r="U31" s="94"/>
    </row>
    <row r="32" spans="1:21" ht="12.25" customHeight="1">
      <c r="A32" s="86">
        <v>44109</v>
      </c>
      <c r="B32" s="87" t="s">
        <v>122</v>
      </c>
      <c r="C32" s="88" t="s">
        <v>128</v>
      </c>
      <c r="D32" s="92">
        <v>500</v>
      </c>
      <c r="E32" s="97"/>
      <c r="F32" s="94"/>
      <c r="G32" s="94"/>
      <c r="H32" s="94"/>
      <c r="I32" s="94"/>
      <c r="J32" s="94"/>
      <c r="K32" s="94"/>
      <c r="L32" s="94">
        <f>D32</f>
        <v>500</v>
      </c>
      <c r="M32" s="94"/>
      <c r="N32" s="94"/>
      <c r="O32" s="94"/>
      <c r="P32" s="94"/>
      <c r="Q32" s="94"/>
      <c r="R32" s="94"/>
      <c r="S32" s="94"/>
      <c r="T32" s="94"/>
      <c r="U32" s="94"/>
    </row>
    <row r="33" spans="1:21" ht="12.25" customHeight="1">
      <c r="A33" s="86">
        <v>44088</v>
      </c>
      <c r="B33" s="87" t="s">
        <v>122</v>
      </c>
      <c r="C33" s="88" t="s">
        <v>128</v>
      </c>
      <c r="D33" s="92">
        <v>250</v>
      </c>
      <c r="E33" s="98"/>
      <c r="F33" s="94"/>
      <c r="G33" s="94"/>
      <c r="H33" s="94"/>
      <c r="I33" s="94"/>
      <c r="J33" s="94"/>
      <c r="K33" s="94"/>
      <c r="L33" s="94">
        <f>D33</f>
        <v>250</v>
      </c>
      <c r="M33" s="94"/>
      <c r="N33" s="94"/>
      <c r="O33" s="94"/>
      <c r="P33" s="94"/>
      <c r="Q33" s="94"/>
      <c r="R33" s="94"/>
      <c r="S33" s="94"/>
      <c r="T33" s="94"/>
      <c r="U33" s="94"/>
    </row>
    <row r="34" spans="1:21" ht="12.25" customHeight="1">
      <c r="A34" s="86">
        <v>44088</v>
      </c>
      <c r="B34" s="87" t="s">
        <v>122</v>
      </c>
      <c r="C34" s="88" t="s">
        <v>123</v>
      </c>
      <c r="D34" s="92">
        <v>180</v>
      </c>
      <c r="E34" s="97"/>
      <c r="F34" s="94"/>
      <c r="G34" s="94"/>
      <c r="H34" s="94"/>
      <c r="I34" s="94"/>
      <c r="J34" s="94"/>
      <c r="K34" s="94"/>
      <c r="L34" s="94"/>
      <c r="M34" s="94"/>
      <c r="N34" s="94">
        <f>D34</f>
        <v>180</v>
      </c>
      <c r="O34" s="94"/>
      <c r="P34" s="94"/>
      <c r="Q34" s="94"/>
      <c r="R34" s="94"/>
      <c r="S34" s="94"/>
      <c r="T34" s="94"/>
      <c r="U34" s="94"/>
    </row>
    <row r="35" spans="1:21" ht="12.25" customHeight="1">
      <c r="A35" s="86">
        <v>44088</v>
      </c>
      <c r="B35" s="87" t="s">
        <v>122</v>
      </c>
      <c r="C35" s="88" t="s">
        <v>123</v>
      </c>
      <c r="D35" s="92">
        <v>24</v>
      </c>
      <c r="E35" s="97"/>
      <c r="F35" s="94"/>
      <c r="G35" s="94"/>
      <c r="H35" s="94">
        <f>D35</f>
        <v>24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ht="12.25" customHeight="1">
      <c r="A36" s="86">
        <v>44083</v>
      </c>
      <c r="B36" s="87" t="s">
        <v>132</v>
      </c>
      <c r="C36" s="88" t="s">
        <v>133</v>
      </c>
      <c r="D36" s="92">
        <v>12</v>
      </c>
      <c r="E36" s="98"/>
      <c r="F36" s="94"/>
      <c r="G36" s="94"/>
      <c r="H36" s="94">
        <f>D36</f>
        <v>12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ht="14.25" customHeight="1">
      <c r="A37" s="86">
        <v>44075</v>
      </c>
      <c r="B37" s="87" t="s">
        <v>122</v>
      </c>
      <c r="C37" s="88" t="s">
        <v>123</v>
      </c>
      <c r="D37" s="92">
        <v>163</v>
      </c>
      <c r="E37" s="10"/>
      <c r="F37" s="94"/>
      <c r="G37" s="94"/>
      <c r="H37" s="94"/>
      <c r="I37" s="94"/>
      <c r="J37" s="94"/>
      <c r="K37" s="94"/>
      <c r="L37" s="94"/>
      <c r="M37" s="94"/>
      <c r="N37" s="94">
        <f>D37</f>
        <v>163</v>
      </c>
      <c r="O37" s="8"/>
      <c r="P37" s="94"/>
      <c r="Q37" s="94"/>
      <c r="R37" s="94"/>
      <c r="S37" s="94"/>
      <c r="T37" s="94"/>
      <c r="U37" s="94"/>
    </row>
    <row r="38" spans="1:21" ht="12.25" customHeight="1">
      <c r="A38" s="86">
        <v>44067</v>
      </c>
      <c r="B38" s="87" t="s">
        <v>124</v>
      </c>
      <c r="C38" s="88" t="s">
        <v>125</v>
      </c>
      <c r="D38" s="92">
        <v>50</v>
      </c>
      <c r="E38" s="97"/>
      <c r="F38" s="94"/>
      <c r="G38" s="94"/>
      <c r="H38" s="94"/>
      <c r="I38" s="94">
        <f>D38</f>
        <v>50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ht="12.25" customHeight="1">
      <c r="A39" s="86">
        <v>44053</v>
      </c>
      <c r="B39" s="87" t="s">
        <v>122</v>
      </c>
      <c r="C39" s="88" t="s">
        <v>123</v>
      </c>
      <c r="D39" s="92">
        <v>46</v>
      </c>
      <c r="E39" s="98"/>
      <c r="F39" s="94"/>
      <c r="G39" s="94"/>
      <c r="H39" s="94">
        <f>D39</f>
        <v>46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2.25" customHeight="1">
      <c r="A40" s="86">
        <v>44053</v>
      </c>
      <c r="B40" s="87" t="s">
        <v>122</v>
      </c>
      <c r="C40" s="88" t="s">
        <v>123</v>
      </c>
      <c r="D40" s="92">
        <v>44</v>
      </c>
      <c r="E40" s="98"/>
      <c r="F40" s="94"/>
      <c r="G40" s="94"/>
      <c r="H40" s="94"/>
      <c r="I40" s="94"/>
      <c r="J40" s="94"/>
      <c r="K40" s="94">
        <f>D40</f>
        <v>44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2.25" customHeight="1">
      <c r="A41" s="86">
        <v>44053</v>
      </c>
      <c r="B41" s="87" t="s">
        <v>122</v>
      </c>
      <c r="C41" s="144" t="s">
        <v>123</v>
      </c>
      <c r="D41" s="92">
        <v>191</v>
      </c>
      <c r="E41" s="97"/>
      <c r="F41" s="94"/>
      <c r="G41" s="94"/>
      <c r="H41" s="94"/>
      <c r="I41" s="94"/>
      <c r="J41" s="94"/>
      <c r="K41" s="94"/>
      <c r="L41" s="94"/>
      <c r="M41" s="94"/>
      <c r="N41" s="94">
        <f>D41</f>
        <v>191</v>
      </c>
      <c r="O41" s="94"/>
      <c r="P41" s="94"/>
      <c r="Q41" s="94"/>
      <c r="R41" s="94"/>
      <c r="S41" s="94"/>
      <c r="T41" s="94"/>
      <c r="U41" s="94"/>
    </row>
    <row r="42" spans="1:21" ht="12.25" customHeight="1">
      <c r="A42" s="86">
        <v>44018</v>
      </c>
      <c r="B42" s="87" t="s">
        <v>122</v>
      </c>
      <c r="C42" s="88" t="s">
        <v>123</v>
      </c>
      <c r="D42" s="92">
        <v>54</v>
      </c>
      <c r="E42" s="97"/>
      <c r="F42" s="94"/>
      <c r="G42" s="94"/>
      <c r="H42" s="94">
        <f>D42</f>
        <v>54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21" ht="12.25" customHeight="1">
      <c r="A43" s="86">
        <v>44018</v>
      </c>
      <c r="B43" s="87" t="s">
        <v>122</v>
      </c>
      <c r="C43" s="88" t="s">
        <v>123</v>
      </c>
      <c r="D43" s="92">
        <v>6</v>
      </c>
      <c r="E43" s="97"/>
      <c r="F43" s="94"/>
      <c r="G43" s="94"/>
      <c r="H43" s="94"/>
      <c r="I43" s="94"/>
      <c r="J43" s="94"/>
      <c r="K43" s="94">
        <f>D43</f>
        <v>6</v>
      </c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ht="12.25" customHeight="1">
      <c r="A44" s="86">
        <v>44018</v>
      </c>
      <c r="B44" s="87" t="s">
        <v>122</v>
      </c>
      <c r="C44" s="88" t="s">
        <v>123</v>
      </c>
      <c r="D44" s="92">
        <v>171</v>
      </c>
      <c r="E44" s="97"/>
      <c r="F44" s="94"/>
      <c r="G44" s="94"/>
      <c r="H44" s="94"/>
      <c r="I44" s="94"/>
      <c r="J44" s="94"/>
      <c r="K44" s="94"/>
      <c r="L44" s="94"/>
      <c r="M44" s="94"/>
      <c r="N44" s="94">
        <f>D44</f>
        <v>171</v>
      </c>
      <c r="O44" s="94"/>
      <c r="P44" s="94"/>
      <c r="Q44" s="94"/>
      <c r="R44" s="94"/>
      <c r="S44" s="94"/>
      <c r="T44" s="94"/>
      <c r="U44" s="94"/>
    </row>
    <row r="45" spans="1:21" ht="12.25" customHeight="1">
      <c r="A45" s="86">
        <v>43969</v>
      </c>
      <c r="B45" s="87" t="s">
        <v>122</v>
      </c>
      <c r="C45" s="88" t="s">
        <v>123</v>
      </c>
      <c r="D45" s="92">
        <v>42</v>
      </c>
      <c r="E45" s="97"/>
      <c r="F45" s="94"/>
      <c r="G45" s="94"/>
      <c r="H45" s="94">
        <f>D45</f>
        <v>42</v>
      </c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ht="12.25" customHeight="1">
      <c r="A46" s="86">
        <v>43962</v>
      </c>
      <c r="B46" s="87" t="s">
        <v>122</v>
      </c>
      <c r="C46" s="88" t="s">
        <v>123</v>
      </c>
      <c r="D46" s="92">
        <v>7.4</v>
      </c>
      <c r="E46" s="97"/>
      <c r="F46" s="94"/>
      <c r="G46" s="94"/>
      <c r="H46" s="94"/>
      <c r="I46" s="94"/>
      <c r="J46" s="94"/>
      <c r="K46" s="94">
        <f>D46</f>
        <v>7.4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ht="12.25" customHeight="1">
      <c r="A47" s="86">
        <v>43962</v>
      </c>
      <c r="B47" s="87" t="s">
        <v>122</v>
      </c>
      <c r="C47" s="88" t="s">
        <v>123</v>
      </c>
      <c r="D47" s="92">
        <v>10</v>
      </c>
      <c r="E47" s="97"/>
      <c r="F47" s="94"/>
      <c r="G47" s="94"/>
      <c r="H47" s="94"/>
      <c r="I47" s="94">
        <f>D47</f>
        <v>10</v>
      </c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1" ht="12.25" customHeight="1">
      <c r="A48" s="86">
        <v>43962</v>
      </c>
      <c r="B48" s="87" t="s">
        <v>122</v>
      </c>
      <c r="C48" s="88" t="s">
        <v>123</v>
      </c>
      <c r="D48" s="92">
        <v>28</v>
      </c>
      <c r="E48" s="97"/>
      <c r="F48" s="94"/>
      <c r="G48" s="94"/>
      <c r="H48" s="94">
        <f>D48</f>
        <v>28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2.25" customHeight="1">
      <c r="A49" s="86">
        <v>43941</v>
      </c>
      <c r="B49" s="87" t="s">
        <v>124</v>
      </c>
      <c r="C49" s="88" t="s">
        <v>134</v>
      </c>
      <c r="D49" s="92">
        <v>1200</v>
      </c>
      <c r="E49" s="97"/>
      <c r="F49" s="94"/>
      <c r="G49" s="94">
        <f>D49</f>
        <v>1200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ht="12.25" customHeight="1">
      <c r="A50" s="145"/>
      <c r="B50" s="104"/>
      <c r="C50" s="146">
        <f>D50-E50</f>
        <v>0</v>
      </c>
      <c r="D50" s="92">
        <f>SUM(D6:D49)</f>
        <v>4732.8999999999996</v>
      </c>
      <c r="E50" s="100">
        <f>SUM(F50:T50)</f>
        <v>4732.8999999999996</v>
      </c>
      <c r="F50" s="99">
        <f t="shared" ref="F50:U50" si="1">SUM(F6:F49)</f>
        <v>6.5</v>
      </c>
      <c r="G50" s="99">
        <f t="shared" si="1"/>
        <v>1200</v>
      </c>
      <c r="H50" s="99">
        <f t="shared" si="1"/>
        <v>232</v>
      </c>
      <c r="I50" s="99">
        <f t="shared" si="1"/>
        <v>112</v>
      </c>
      <c r="J50" s="99">
        <f t="shared" si="1"/>
        <v>103</v>
      </c>
      <c r="K50" s="99">
        <f t="shared" si="1"/>
        <v>112.4</v>
      </c>
      <c r="L50" s="99">
        <f t="shared" si="1"/>
        <v>1750</v>
      </c>
      <c r="M50" s="99">
        <f t="shared" si="1"/>
        <v>0</v>
      </c>
      <c r="N50" s="99">
        <f t="shared" si="1"/>
        <v>1184</v>
      </c>
      <c r="O50" s="99">
        <f t="shared" si="1"/>
        <v>0</v>
      </c>
      <c r="P50" s="99">
        <f t="shared" si="1"/>
        <v>0</v>
      </c>
      <c r="Q50" s="99">
        <f t="shared" si="1"/>
        <v>0</v>
      </c>
      <c r="R50" s="99">
        <f t="shared" si="1"/>
        <v>0</v>
      </c>
      <c r="S50" s="99">
        <f t="shared" si="1"/>
        <v>0</v>
      </c>
      <c r="T50" s="99">
        <f t="shared" si="1"/>
        <v>33</v>
      </c>
      <c r="U50" s="99">
        <f t="shared" si="1"/>
        <v>0</v>
      </c>
    </row>
    <row r="51" spans="1:21" ht="12.25" customHeight="1">
      <c r="A51" s="86"/>
      <c r="B51" s="87"/>
      <c r="C51" s="88"/>
      <c r="D51" s="92"/>
      <c r="E51" s="147"/>
      <c r="F51" s="148"/>
      <c r="G51" s="148"/>
      <c r="H51" s="148"/>
      <c r="I51" s="148"/>
      <c r="J51" s="148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2.25" customHeight="1">
      <c r="A52" s="149" t="s">
        <v>80</v>
      </c>
      <c r="B52" s="87"/>
      <c r="C52" s="150" t="s">
        <v>135</v>
      </c>
      <c r="D52" s="151">
        <v>2831.25</v>
      </c>
      <c r="E52" s="152"/>
      <c r="F52" s="153"/>
      <c r="G52" s="153"/>
      <c r="H52" s="153">
        <f>D52-K52</f>
        <v>2748</v>
      </c>
      <c r="I52" s="153"/>
      <c r="J52" s="154"/>
      <c r="K52" s="155">
        <v>83.25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2.25" customHeight="1">
      <c r="A53" s="86"/>
      <c r="B53" s="87"/>
      <c r="C53" s="88"/>
      <c r="D53" s="92"/>
      <c r="E53" s="156"/>
      <c r="F53" s="157"/>
      <c r="G53" s="157"/>
      <c r="H53" s="157"/>
      <c r="I53" s="157"/>
      <c r="J53" s="157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</row>
    <row r="54" spans="1:21" ht="12.25" customHeight="1">
      <c r="A54" s="87" t="s">
        <v>81</v>
      </c>
      <c r="B54" s="87" t="s">
        <v>82</v>
      </c>
      <c r="C54" s="88" t="s">
        <v>136</v>
      </c>
      <c r="D54" s="92">
        <f>8</f>
        <v>8</v>
      </c>
      <c r="E54" s="93"/>
      <c r="F54" s="94"/>
      <c r="G54" s="94"/>
      <c r="H54" s="94"/>
      <c r="I54" s="94"/>
      <c r="J54" s="94"/>
      <c r="K54" s="94">
        <v>8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ht="12.25" customHeight="1">
      <c r="A55" s="86"/>
      <c r="B55" s="87" t="s">
        <v>83</v>
      </c>
      <c r="C55" s="88" t="s">
        <v>137</v>
      </c>
      <c r="D55" s="92">
        <v>7.6</v>
      </c>
      <c r="E55" s="93"/>
      <c r="F55" s="94"/>
      <c r="G55" s="94"/>
      <c r="H55" s="94"/>
      <c r="I55" s="94"/>
      <c r="J55" s="94"/>
      <c r="K55" s="94">
        <f>D55</f>
        <v>7.6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2.25" customHeight="1">
      <c r="A56" s="86"/>
      <c r="B56" s="87" t="s">
        <v>84</v>
      </c>
      <c r="C56" s="88" t="s">
        <v>137</v>
      </c>
      <c r="D56" s="92">
        <v>10</v>
      </c>
      <c r="E56" s="93"/>
      <c r="F56" s="94"/>
      <c r="G56" s="94"/>
      <c r="H56" s="94"/>
      <c r="I56" s="94"/>
      <c r="J56" s="94">
        <v>10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ht="12.25" customHeight="1">
      <c r="A57" s="86"/>
      <c r="B57" s="87" t="s">
        <v>85</v>
      </c>
      <c r="C57" s="88" t="s">
        <v>137</v>
      </c>
      <c r="D57" s="92">
        <v>56</v>
      </c>
      <c r="E57" s="93"/>
      <c r="F57" s="94"/>
      <c r="G57" s="94"/>
      <c r="H57" s="94"/>
      <c r="I57" s="94"/>
      <c r="J57" s="94"/>
      <c r="K57" s="94"/>
      <c r="L57" s="94"/>
      <c r="M57" s="94"/>
      <c r="N57" s="94">
        <f>D57</f>
        <v>56</v>
      </c>
      <c r="O57" s="94"/>
      <c r="P57" s="94"/>
      <c r="Q57" s="94"/>
      <c r="R57" s="94"/>
      <c r="S57" s="94"/>
      <c r="T57" s="94"/>
      <c r="U57" s="94"/>
    </row>
    <row r="58" spans="1:21" ht="12.25" customHeight="1">
      <c r="A58" s="86"/>
      <c r="B58" s="87"/>
      <c r="C58" s="102"/>
      <c r="D58" s="92"/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2.25" customHeight="1">
      <c r="A59" s="103"/>
      <c r="B59" s="87"/>
      <c r="C59" s="88"/>
      <c r="D59" s="92"/>
      <c r="E59" s="93"/>
      <c r="F59" s="94">
        <f t="shared" ref="F59:T59" si="2">SUM(F50:F58)</f>
        <v>6.5</v>
      </c>
      <c r="G59" s="94">
        <f t="shared" si="2"/>
        <v>1200</v>
      </c>
      <c r="H59" s="94">
        <f t="shared" si="2"/>
        <v>2980</v>
      </c>
      <c r="I59" s="94">
        <f t="shared" si="2"/>
        <v>112</v>
      </c>
      <c r="J59" s="94">
        <f t="shared" si="2"/>
        <v>113</v>
      </c>
      <c r="K59" s="94">
        <f t="shared" si="2"/>
        <v>211.25</v>
      </c>
      <c r="L59" s="94">
        <f t="shared" si="2"/>
        <v>1750</v>
      </c>
      <c r="M59" s="94">
        <f t="shared" si="2"/>
        <v>0</v>
      </c>
      <c r="N59" s="94">
        <f>SUM(N50:N58)</f>
        <v>1240</v>
      </c>
      <c r="O59" s="94">
        <f>SUM(O50:O58)</f>
        <v>0</v>
      </c>
      <c r="P59" s="94">
        <f t="shared" si="2"/>
        <v>0</v>
      </c>
      <c r="Q59" s="94">
        <f t="shared" si="2"/>
        <v>0</v>
      </c>
      <c r="R59" s="94">
        <f t="shared" si="2"/>
        <v>0</v>
      </c>
      <c r="S59" s="94">
        <f t="shared" si="2"/>
        <v>0</v>
      </c>
      <c r="T59" s="94">
        <f t="shared" si="2"/>
        <v>33</v>
      </c>
      <c r="U59" s="94"/>
    </row>
    <row r="60" spans="1:21" ht="14.25" customHeight="1">
      <c r="A60" s="104"/>
      <c r="B60" s="87"/>
      <c r="C60" s="88"/>
      <c r="D60" s="92"/>
      <c r="E60" s="93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ht="12.25" customHeight="1">
      <c r="A61" s="605" t="s">
        <v>87</v>
      </c>
      <c r="B61" s="586"/>
      <c r="C61" s="586"/>
      <c r="D61" s="606"/>
      <c r="E61" s="588"/>
      <c r="F61" s="94">
        <f>F59+H59+I59+J59+K59+L59+M59+N59+O59+P59+Q59+R59+S59</f>
        <v>6412.75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ht="12.25" customHeight="1">
      <c r="A62" s="602"/>
      <c r="B62" s="603"/>
      <c r="C62" s="105"/>
      <c r="D62" s="106"/>
      <c r="E62" s="93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spans="1:21" ht="14.25" customHeight="1">
      <c r="A63" s="104"/>
      <c r="B63" s="87"/>
      <c r="C63" s="103"/>
      <c r="D63" s="108"/>
      <c r="E63" s="109"/>
      <c r="F63" s="8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2.25" customHeight="1">
      <c r="A64" s="86"/>
      <c r="B64" s="87"/>
      <c r="C64" s="88"/>
      <c r="D64" s="92"/>
      <c r="E64" s="93"/>
      <c r="F64" s="110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2.25" customHeight="1">
      <c r="A65" s="86"/>
      <c r="B65" s="87"/>
      <c r="C65" s="88"/>
      <c r="D65" s="92"/>
      <c r="E65" s="93"/>
      <c r="F65" s="94"/>
      <c r="G65" s="110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</row>
    <row r="66" spans="1:21" ht="12.25" customHeight="1">
      <c r="A66" s="86"/>
      <c r="B66" s="87"/>
      <c r="C66" s="88"/>
      <c r="D66" s="92"/>
      <c r="E66" s="93"/>
      <c r="F66" s="94"/>
      <c r="G66" s="110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pans="1:21" ht="22.25" customHeight="1">
      <c r="A67" s="86"/>
      <c r="B67" s="87"/>
      <c r="C67" s="88"/>
      <c r="D67" s="92"/>
      <c r="E67" s="93"/>
      <c r="F67" s="94"/>
      <c r="G67" s="110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1:21" ht="12.25" customHeight="1">
      <c r="A68" s="86"/>
      <c r="B68" s="87"/>
      <c r="C68" s="88"/>
      <c r="D68" s="92"/>
      <c r="E68" s="93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</sheetData>
  <mergeCells count="4">
    <mergeCell ref="A1:T1"/>
    <mergeCell ref="A62:B62"/>
    <mergeCell ref="B3:C3"/>
    <mergeCell ref="A61:E6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9"/>
  <sheetViews>
    <sheetView showGridLines="0" workbookViewId="0">
      <pane xSplit="4" ySplit="4" topLeftCell="O32" activePane="bottomRight" state="frozen"/>
      <selection pane="topRight"/>
      <selection pane="bottomLeft"/>
      <selection pane="bottomRight" activeCell="Q49" sqref="Q49"/>
    </sheetView>
  </sheetViews>
  <sheetFormatPr baseColWidth="10" defaultColWidth="16.33203125" defaultRowHeight="14" customHeight="1"/>
  <cols>
    <col min="1" max="1" width="16.33203125" style="1" customWidth="1"/>
    <col min="2" max="2" width="10.83203125" style="1" customWidth="1"/>
    <col min="3" max="3" width="18.33203125" style="1" customWidth="1"/>
    <col min="4" max="5" width="11.1640625" style="1" customWidth="1"/>
    <col min="6" max="7" width="7" style="1" bestFit="1" customWidth="1"/>
    <col min="8" max="8" width="6.33203125" style="1" customWidth="1"/>
    <col min="9" max="9" width="8.1640625" style="1" customWidth="1"/>
    <col min="10" max="10" width="6.1640625" style="1" customWidth="1"/>
    <col min="11" max="11" width="6.33203125" style="1" customWidth="1"/>
    <col min="12" max="12" width="7.5" style="1" customWidth="1"/>
    <col min="13" max="13" width="6.5" style="1" customWidth="1"/>
    <col min="14" max="14" width="7.5" style="1" customWidth="1"/>
    <col min="15" max="15" width="5.5" style="1" customWidth="1"/>
    <col min="16" max="16" width="8" style="1" customWidth="1"/>
    <col min="17" max="17" width="8.1640625" style="1" customWidth="1"/>
    <col min="18" max="18" width="6" style="1" customWidth="1"/>
    <col min="19" max="19" width="5.33203125" style="1" customWidth="1"/>
    <col min="20" max="20" width="6.6640625" style="1" customWidth="1"/>
    <col min="21" max="21" width="5.83203125" style="1" customWidth="1"/>
    <col min="22" max="22" width="3.6640625" style="1" customWidth="1"/>
    <col min="23" max="23" width="6.33203125" style="1" customWidth="1"/>
    <col min="24" max="24" width="9.1640625" style="1" customWidth="1"/>
    <col min="25" max="25" width="9" style="1" customWidth="1"/>
    <col min="26" max="26" width="7.1640625" style="1" customWidth="1"/>
    <col min="27" max="27" width="7.6640625" style="1" customWidth="1"/>
    <col min="28" max="28" width="4.83203125" style="1" customWidth="1"/>
    <col min="29" max="29" width="7.83203125" style="1" customWidth="1"/>
    <col min="30" max="30" width="4.5" style="1" customWidth="1"/>
    <col min="31" max="31" width="6.33203125" style="1" customWidth="1"/>
    <col min="32" max="32" width="9.6640625" style="1" customWidth="1"/>
    <col min="33" max="33" width="11.1640625" style="1" customWidth="1"/>
    <col min="34" max="34" width="16.33203125" style="1" customWidth="1"/>
    <col min="35" max="16384" width="16.33203125" style="1"/>
  </cols>
  <sheetData>
    <row r="1" spans="1:33" ht="14.75" customHeight="1">
      <c r="A1" s="595" t="s">
        <v>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</row>
    <row r="2" spans="1:33" ht="13.25" customHeight="1">
      <c r="A2" s="596" t="s">
        <v>89</v>
      </c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114"/>
    </row>
    <row r="3" spans="1:33" ht="24" customHeight="1">
      <c r="A3" s="116" t="s">
        <v>67</v>
      </c>
      <c r="B3" s="158" t="s">
        <v>68</v>
      </c>
      <c r="C3" s="116" t="s">
        <v>90</v>
      </c>
      <c r="D3" s="116" t="s">
        <v>138</v>
      </c>
      <c r="E3" s="159"/>
      <c r="F3" s="116" t="s">
        <v>65</v>
      </c>
      <c r="G3" s="115"/>
      <c r="H3" s="115"/>
      <c r="I3" s="115"/>
      <c r="J3" s="116" t="s">
        <v>16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 t="s">
        <v>40</v>
      </c>
      <c r="X3" s="115"/>
      <c r="Y3" s="115"/>
      <c r="Z3" s="115"/>
      <c r="AA3" s="115"/>
      <c r="AB3" s="115"/>
      <c r="AC3" s="115"/>
      <c r="AD3" s="115"/>
      <c r="AE3" s="115"/>
      <c r="AF3" s="115"/>
      <c r="AG3" s="116"/>
    </row>
    <row r="4" spans="1:33" ht="35.25" customHeight="1">
      <c r="A4" s="160"/>
      <c r="B4" s="161"/>
      <c r="C4" s="160"/>
      <c r="D4" s="160"/>
      <c r="E4" s="162"/>
      <c r="F4" s="160"/>
      <c r="G4" s="160" t="s">
        <v>71</v>
      </c>
      <c r="H4" s="160" t="s">
        <v>91</v>
      </c>
      <c r="I4" s="160" t="s">
        <v>31</v>
      </c>
      <c r="J4" s="160" t="s">
        <v>13</v>
      </c>
      <c r="K4" s="160" t="s">
        <v>92</v>
      </c>
      <c r="L4" s="160" t="s">
        <v>93</v>
      </c>
      <c r="M4" s="160" t="s">
        <v>94</v>
      </c>
      <c r="N4" s="160" t="s">
        <v>17</v>
      </c>
      <c r="O4" s="160" t="s">
        <v>22</v>
      </c>
      <c r="P4" s="160" t="s">
        <v>139</v>
      </c>
      <c r="Q4" s="160" t="s">
        <v>95</v>
      </c>
      <c r="R4" s="160" t="s">
        <v>96</v>
      </c>
      <c r="S4" s="160" t="s">
        <v>37</v>
      </c>
      <c r="T4" s="160" t="s">
        <v>97</v>
      </c>
      <c r="U4" s="160" t="s">
        <v>21</v>
      </c>
      <c r="V4" s="160" t="s">
        <v>98</v>
      </c>
      <c r="W4" s="160" t="s">
        <v>99</v>
      </c>
      <c r="X4" s="160" t="s">
        <v>100</v>
      </c>
      <c r="Y4" s="160" t="s">
        <v>101</v>
      </c>
      <c r="Z4" s="160" t="s">
        <v>102</v>
      </c>
      <c r="AA4" s="160" t="s">
        <v>103</v>
      </c>
      <c r="AB4" s="160" t="s">
        <v>48</v>
      </c>
      <c r="AC4" s="160" t="s">
        <v>140</v>
      </c>
      <c r="AD4" s="160" t="s">
        <v>50</v>
      </c>
      <c r="AE4" s="160" t="s">
        <v>53</v>
      </c>
      <c r="AF4" s="160" t="s">
        <v>104</v>
      </c>
      <c r="AG4" s="160" t="s">
        <v>76</v>
      </c>
    </row>
    <row r="5" spans="1:33" ht="13.25" customHeight="1">
      <c r="A5" s="118" t="s">
        <v>105</v>
      </c>
      <c r="B5" s="117"/>
      <c r="C5" s="118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63"/>
    </row>
    <row r="6" spans="1:33" ht="14.25" customHeight="1">
      <c r="A6" s="164" t="s">
        <v>141</v>
      </c>
      <c r="B6" s="131" t="s">
        <v>124</v>
      </c>
      <c r="C6" s="164" t="s">
        <v>142</v>
      </c>
      <c r="D6" s="124">
        <v>1200</v>
      </c>
      <c r="E6" s="112"/>
      <c r="F6" s="125">
        <f>$D6</f>
        <v>1200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</row>
    <row r="7" spans="1:33" ht="13.25" customHeight="1">
      <c r="A7" s="123"/>
      <c r="B7" s="122"/>
      <c r="C7" s="123"/>
      <c r="D7" s="126"/>
      <c r="E7" s="127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3" ht="13.25" customHeight="1">
      <c r="A8" s="164" t="s">
        <v>106</v>
      </c>
      <c r="B8" s="122"/>
      <c r="C8" s="123"/>
      <c r="D8" s="126"/>
      <c r="E8" s="127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</row>
    <row r="9" spans="1:33" ht="13.25" customHeight="1">
      <c r="A9" s="164" t="s">
        <v>143</v>
      </c>
      <c r="B9" s="131" t="s">
        <v>124</v>
      </c>
      <c r="C9" s="164" t="s">
        <v>144</v>
      </c>
      <c r="D9" s="126">
        <v>200</v>
      </c>
      <c r="E9" s="165" t="s">
        <v>145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8"/>
      <c r="X9" s="125"/>
      <c r="Y9" s="125"/>
      <c r="Z9" s="125"/>
      <c r="AA9" s="125"/>
      <c r="AB9" s="125"/>
      <c r="AC9" s="125"/>
      <c r="AD9" s="125"/>
      <c r="AE9" s="125"/>
      <c r="AF9" s="125">
        <f>$D9</f>
        <v>200</v>
      </c>
      <c r="AG9" s="125"/>
    </row>
    <row r="10" spans="1:33" ht="13.25" customHeight="1">
      <c r="A10" s="164" t="s">
        <v>146</v>
      </c>
      <c r="B10" s="131" t="s">
        <v>124</v>
      </c>
      <c r="C10" s="164" t="s">
        <v>147</v>
      </c>
      <c r="D10" s="126">
        <v>31.5</v>
      </c>
      <c r="E10" s="127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8"/>
      <c r="X10" s="125"/>
      <c r="Y10" s="125">
        <f>$D10</f>
        <v>31.5</v>
      </c>
      <c r="Z10" s="125"/>
      <c r="AA10" s="128"/>
      <c r="AB10" s="125"/>
      <c r="AC10" s="125"/>
      <c r="AD10" s="125"/>
      <c r="AE10" s="125"/>
      <c r="AF10" s="125"/>
      <c r="AG10" s="125"/>
    </row>
    <row r="11" spans="1:33" ht="13.25" customHeight="1">
      <c r="A11" s="164" t="s">
        <v>148</v>
      </c>
      <c r="B11" s="131" t="s">
        <v>149</v>
      </c>
      <c r="C11" s="164" t="s">
        <v>150</v>
      </c>
      <c r="D11" s="126">
        <v>75</v>
      </c>
      <c r="E11" s="127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8"/>
      <c r="X11" s="125"/>
      <c r="Y11" s="125"/>
      <c r="Z11" s="125"/>
      <c r="AA11" s="125">
        <f>$D11</f>
        <v>75</v>
      </c>
      <c r="AB11" s="125"/>
      <c r="AC11" s="125"/>
      <c r="AD11" s="125"/>
      <c r="AE11" s="125"/>
      <c r="AF11" s="125"/>
      <c r="AG11" s="125"/>
    </row>
    <row r="12" spans="1:33" ht="13.25" customHeight="1">
      <c r="A12" s="164" t="s">
        <v>151</v>
      </c>
      <c r="B12" s="131" t="s">
        <v>124</v>
      </c>
      <c r="C12" s="164" t="s">
        <v>147</v>
      </c>
      <c r="D12" s="126">
        <v>688.5</v>
      </c>
      <c r="E12" s="127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8"/>
      <c r="X12" s="125">
        <f>$D12</f>
        <v>688.5</v>
      </c>
      <c r="Y12" s="125"/>
      <c r="Z12" s="125"/>
      <c r="AA12" s="125"/>
      <c r="AB12" s="125"/>
      <c r="AC12" s="125"/>
      <c r="AD12" s="125"/>
      <c r="AE12" s="125"/>
      <c r="AF12" s="125"/>
      <c r="AG12" s="125"/>
    </row>
    <row r="13" spans="1:33" ht="13.25" customHeight="1">
      <c r="A13" s="164" t="s">
        <v>152</v>
      </c>
      <c r="B13" s="131" t="s">
        <v>153</v>
      </c>
      <c r="C13" s="166" t="s">
        <v>154</v>
      </c>
      <c r="D13" s="129">
        <v>216</v>
      </c>
      <c r="E13" s="167" t="s">
        <v>155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8"/>
      <c r="X13" s="125"/>
      <c r="Y13" s="125"/>
      <c r="Z13" s="125"/>
      <c r="AA13" s="125"/>
      <c r="AB13" s="125"/>
      <c r="AC13" s="125"/>
      <c r="AD13" s="125"/>
      <c r="AE13" s="125">
        <f>$D13</f>
        <v>216</v>
      </c>
      <c r="AF13" s="125"/>
      <c r="AG13" s="125"/>
    </row>
    <row r="14" spans="1:33" ht="13.25" customHeight="1">
      <c r="A14" s="164" t="s">
        <v>156</v>
      </c>
      <c r="B14" s="131" t="s">
        <v>124</v>
      </c>
      <c r="C14" s="164" t="s">
        <v>157</v>
      </c>
      <c r="D14" s="126">
        <v>27.84</v>
      </c>
      <c r="E14" s="127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>
        <f>$D14</f>
        <v>27.84</v>
      </c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</row>
    <row r="15" spans="1:33" ht="13.25" customHeight="1">
      <c r="A15" s="164" t="s">
        <v>158</v>
      </c>
      <c r="B15" s="131" t="s">
        <v>124</v>
      </c>
      <c r="C15" s="164" t="s">
        <v>144</v>
      </c>
      <c r="D15" s="126">
        <v>100</v>
      </c>
      <c r="E15" s="168">
        <v>44197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8"/>
      <c r="X15" s="125"/>
      <c r="Y15" s="125"/>
      <c r="Z15" s="125"/>
      <c r="AA15" s="125"/>
      <c r="AB15" s="125"/>
      <c r="AC15" s="125"/>
      <c r="AD15" s="125"/>
      <c r="AE15" s="125"/>
      <c r="AF15" s="125">
        <f>$D15</f>
        <v>100</v>
      </c>
      <c r="AG15" s="125"/>
    </row>
    <row r="16" spans="1:33" ht="14.25" customHeight="1">
      <c r="A16" s="164" t="s">
        <v>159</v>
      </c>
      <c r="B16" s="131" t="s">
        <v>124</v>
      </c>
      <c r="C16" s="164" t="s">
        <v>147</v>
      </c>
      <c r="D16" s="126">
        <v>108</v>
      </c>
      <c r="E16" s="127"/>
      <c r="F16" s="125"/>
      <c r="G16" s="125">
        <f>$D16</f>
        <v>108</v>
      </c>
      <c r="H16" s="125"/>
      <c r="I16" s="125"/>
      <c r="J16" s="113"/>
      <c r="K16" s="125"/>
      <c r="L16" s="125"/>
      <c r="M16" s="125"/>
      <c r="N16" s="125"/>
      <c r="O16" s="125"/>
      <c r="P16" s="113"/>
      <c r="Q16" s="125"/>
      <c r="R16" s="125"/>
      <c r="S16" s="125"/>
      <c r="T16" s="125"/>
      <c r="U16" s="125"/>
      <c r="V16" s="125"/>
      <c r="W16" s="113"/>
      <c r="X16" s="125"/>
      <c r="Y16" s="125"/>
      <c r="Z16" s="125"/>
      <c r="AA16" s="125"/>
      <c r="AB16" s="125"/>
      <c r="AC16" s="125"/>
      <c r="AD16" s="113"/>
      <c r="AE16" s="125"/>
      <c r="AF16" s="113"/>
      <c r="AG16" s="125"/>
    </row>
    <row r="17" spans="1:33" ht="13.25" customHeight="1">
      <c r="A17" s="164" t="s">
        <v>160</v>
      </c>
      <c r="B17" s="131" t="s">
        <v>149</v>
      </c>
      <c r="C17" s="164" t="s">
        <v>150</v>
      </c>
      <c r="D17" s="126">
        <v>75</v>
      </c>
      <c r="E17" s="127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8"/>
      <c r="X17" s="125"/>
      <c r="Y17" s="125"/>
      <c r="Z17" s="125"/>
      <c r="AA17" s="125">
        <f>$D17</f>
        <v>75</v>
      </c>
      <c r="AB17" s="125"/>
      <c r="AC17" s="125"/>
      <c r="AD17" s="125"/>
      <c r="AE17" s="125"/>
      <c r="AF17" s="125"/>
      <c r="AG17" s="125"/>
    </row>
    <row r="18" spans="1:33" ht="13.25" customHeight="1">
      <c r="A18" s="164" t="s">
        <v>161</v>
      </c>
      <c r="B18" s="131" t="s">
        <v>124</v>
      </c>
      <c r="C18" s="164" t="s">
        <v>162</v>
      </c>
      <c r="D18" s="126">
        <v>159</v>
      </c>
      <c r="E18" s="127"/>
      <c r="F18" s="125"/>
      <c r="G18" s="125"/>
      <c r="H18" s="125"/>
      <c r="I18" s="125">
        <f>159</f>
        <v>159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8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1:33" ht="13.25" customHeight="1">
      <c r="A19" s="164" t="s">
        <v>163</v>
      </c>
      <c r="B19" s="131" t="s">
        <v>149</v>
      </c>
      <c r="C19" s="164" t="s">
        <v>150</v>
      </c>
      <c r="D19" s="126">
        <v>75</v>
      </c>
      <c r="E19" s="127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8"/>
      <c r="X19" s="125"/>
      <c r="Y19" s="125"/>
      <c r="Z19" s="125"/>
      <c r="AA19" s="125">
        <f>$D19</f>
        <v>75</v>
      </c>
      <c r="AB19" s="125"/>
      <c r="AC19" s="125"/>
      <c r="AD19" s="125"/>
      <c r="AE19" s="125"/>
      <c r="AF19" s="125"/>
      <c r="AG19" s="125"/>
    </row>
    <row r="20" spans="1:33" ht="13.25" customHeight="1">
      <c r="A20" s="164" t="s">
        <v>164</v>
      </c>
      <c r="B20" s="131" t="s">
        <v>149</v>
      </c>
      <c r="C20" s="164" t="s">
        <v>165</v>
      </c>
      <c r="D20" s="126">
        <v>50</v>
      </c>
      <c r="E20" s="127"/>
      <c r="F20" s="125"/>
      <c r="G20" s="125"/>
      <c r="H20" s="125"/>
      <c r="I20" s="125">
        <f>$D20</f>
        <v>50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8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1:33" ht="13.25" customHeight="1">
      <c r="A21" s="164" t="s">
        <v>164</v>
      </c>
      <c r="B21" s="131" t="s">
        <v>124</v>
      </c>
      <c r="C21" s="164" t="s">
        <v>144</v>
      </c>
      <c r="D21" s="126">
        <v>100</v>
      </c>
      <c r="E21" s="168">
        <v>44531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8"/>
      <c r="X21" s="125"/>
      <c r="Y21" s="125"/>
      <c r="Z21" s="125"/>
      <c r="AA21" s="125"/>
      <c r="AB21" s="125"/>
      <c r="AC21" s="125"/>
      <c r="AD21" s="125"/>
      <c r="AE21" s="125"/>
      <c r="AF21" s="125">
        <f>$D21</f>
        <v>100</v>
      </c>
      <c r="AG21" s="125"/>
    </row>
    <row r="22" spans="1:33" ht="13.25" customHeight="1">
      <c r="A22" s="164" t="s">
        <v>166</v>
      </c>
      <c r="B22" s="131" t="s">
        <v>149</v>
      </c>
      <c r="C22" s="164" t="s">
        <v>150</v>
      </c>
      <c r="D22" s="126">
        <v>75</v>
      </c>
      <c r="E22" s="127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8"/>
      <c r="X22" s="125"/>
      <c r="Y22" s="125"/>
      <c r="Z22" s="125"/>
      <c r="AA22" s="125">
        <f>$D22</f>
        <v>75</v>
      </c>
      <c r="AB22" s="125"/>
      <c r="AC22" s="125"/>
      <c r="AD22" s="125"/>
      <c r="AE22" s="125"/>
      <c r="AF22" s="125"/>
      <c r="AG22" s="125"/>
    </row>
    <row r="23" spans="1:33" ht="13.25" customHeight="1">
      <c r="A23" s="164" t="s">
        <v>167</v>
      </c>
      <c r="B23" s="131" t="s">
        <v>124</v>
      </c>
      <c r="C23" s="164" t="s">
        <v>144</v>
      </c>
      <c r="D23" s="126">
        <v>100</v>
      </c>
      <c r="E23" s="168">
        <v>44501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8"/>
      <c r="X23" s="125"/>
      <c r="Y23" s="125"/>
      <c r="Z23" s="125"/>
      <c r="AA23" s="125"/>
      <c r="AB23" s="125"/>
      <c r="AC23" s="125"/>
      <c r="AD23" s="125"/>
      <c r="AE23" s="125"/>
      <c r="AF23" s="125">
        <f>$D23</f>
        <v>100</v>
      </c>
      <c r="AG23" s="125"/>
    </row>
    <row r="24" spans="1:33" ht="13.25" customHeight="1">
      <c r="A24" s="164" t="s">
        <v>168</v>
      </c>
      <c r="B24" s="131" t="s">
        <v>124</v>
      </c>
      <c r="C24" s="164" t="s">
        <v>147</v>
      </c>
      <c r="D24" s="126">
        <v>31.5</v>
      </c>
      <c r="E24" s="127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>
        <f>$D24</f>
        <v>31.5</v>
      </c>
      <c r="R24" s="125"/>
      <c r="S24" s="125"/>
      <c r="T24" s="125"/>
      <c r="U24" s="125"/>
      <c r="V24" s="125"/>
      <c r="W24" s="128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1:33" ht="13.25" customHeight="1">
      <c r="A25" s="164" t="s">
        <v>169</v>
      </c>
      <c r="B25" s="131" t="s">
        <v>149</v>
      </c>
      <c r="C25" s="164" t="s">
        <v>150</v>
      </c>
      <c r="D25" s="126">
        <v>75</v>
      </c>
      <c r="E25" s="127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8"/>
      <c r="X25" s="125"/>
      <c r="Y25" s="125"/>
      <c r="Z25" s="125"/>
      <c r="AA25" s="125">
        <f>$D25</f>
        <v>75</v>
      </c>
      <c r="AB25" s="125"/>
      <c r="AC25" s="125"/>
      <c r="AD25" s="125"/>
      <c r="AE25" s="125"/>
      <c r="AF25" s="125"/>
      <c r="AG25" s="125"/>
    </row>
    <row r="26" spans="1:33" ht="13.25" customHeight="1">
      <c r="A26" s="164" t="s">
        <v>170</v>
      </c>
      <c r="B26" s="131" t="s">
        <v>124</v>
      </c>
      <c r="C26" s="164" t="s">
        <v>144</v>
      </c>
      <c r="D26" s="126">
        <v>100</v>
      </c>
      <c r="E26" s="168">
        <v>44470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8"/>
      <c r="X26" s="125"/>
      <c r="Y26" s="125"/>
      <c r="Z26" s="125"/>
      <c r="AA26" s="125"/>
      <c r="AB26" s="125"/>
      <c r="AC26" s="125"/>
      <c r="AD26" s="125"/>
      <c r="AE26" s="125"/>
      <c r="AF26" s="125">
        <f>$D26</f>
        <v>100</v>
      </c>
      <c r="AG26" s="125"/>
    </row>
    <row r="27" spans="1:33" ht="14.25" customHeight="1">
      <c r="A27" s="164" t="s">
        <v>171</v>
      </c>
      <c r="B27" s="131" t="s">
        <v>124</v>
      </c>
      <c r="C27" s="164" t="s">
        <v>147</v>
      </c>
      <c r="D27" s="126">
        <v>616.5</v>
      </c>
      <c r="E27" s="130"/>
      <c r="F27" s="125"/>
      <c r="G27" s="125"/>
      <c r="H27" s="113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8"/>
      <c r="X27" s="125">
        <f>$D27</f>
        <v>616.5</v>
      </c>
      <c r="Y27" s="125"/>
      <c r="Z27" s="125"/>
      <c r="AA27" s="125"/>
      <c r="AB27" s="125"/>
      <c r="AC27" s="125"/>
      <c r="AD27" s="125"/>
      <c r="AE27" s="125"/>
      <c r="AF27" s="125"/>
      <c r="AG27" s="125"/>
    </row>
    <row r="28" spans="1:33" ht="13.25" customHeight="1">
      <c r="A28" s="164" t="s">
        <v>172</v>
      </c>
      <c r="B28" s="131" t="s">
        <v>124</v>
      </c>
      <c r="C28" s="164" t="s">
        <v>144</v>
      </c>
      <c r="D28" s="126">
        <v>100</v>
      </c>
      <c r="E28" s="127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8"/>
      <c r="X28" s="125"/>
      <c r="Y28" s="125"/>
      <c r="Z28" s="125"/>
      <c r="AA28" s="125"/>
      <c r="AB28" s="125"/>
      <c r="AC28" s="125"/>
      <c r="AD28" s="125"/>
      <c r="AE28" s="125"/>
      <c r="AF28" s="125">
        <f>$D28</f>
        <v>100</v>
      </c>
      <c r="AG28" s="125"/>
    </row>
    <row r="29" spans="1:33" ht="13.25" customHeight="1">
      <c r="A29" s="164" t="s">
        <v>173</v>
      </c>
      <c r="B29" s="131" t="s">
        <v>149</v>
      </c>
      <c r="C29" s="164" t="s">
        <v>150</v>
      </c>
      <c r="D29" s="126">
        <v>75</v>
      </c>
      <c r="E29" s="127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8"/>
      <c r="X29" s="125"/>
      <c r="Y29" s="125"/>
      <c r="Z29" s="125"/>
      <c r="AA29" s="125">
        <f>$D29</f>
        <v>75</v>
      </c>
      <c r="AB29" s="125"/>
      <c r="AC29" s="125"/>
      <c r="AD29" s="125"/>
      <c r="AE29" s="125"/>
      <c r="AF29" s="125"/>
      <c r="AG29" s="125"/>
    </row>
    <row r="30" spans="1:33" ht="13.25" customHeight="1">
      <c r="A30" s="164" t="s">
        <v>174</v>
      </c>
      <c r="B30" s="131" t="s">
        <v>149</v>
      </c>
      <c r="C30" s="164" t="s">
        <v>165</v>
      </c>
      <c r="D30" s="126">
        <v>50</v>
      </c>
      <c r="E30" s="127"/>
      <c r="F30" s="125"/>
      <c r="G30" s="125"/>
      <c r="H30" s="125"/>
      <c r="I30" s="125">
        <f>$D30</f>
        <v>50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8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ht="13.25" customHeight="1">
      <c r="A31" s="164" t="s">
        <v>175</v>
      </c>
      <c r="B31" s="131" t="s">
        <v>124</v>
      </c>
      <c r="C31" s="164" t="s">
        <v>144</v>
      </c>
      <c r="D31" s="126">
        <v>500</v>
      </c>
      <c r="E31" s="127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8"/>
      <c r="X31" s="125"/>
      <c r="Y31" s="125"/>
      <c r="Z31" s="125"/>
      <c r="AA31" s="125"/>
      <c r="AB31" s="125"/>
      <c r="AC31" s="125"/>
      <c r="AD31" s="125"/>
      <c r="AE31" s="125"/>
      <c r="AF31" s="125">
        <f>$D31</f>
        <v>500</v>
      </c>
      <c r="AG31" s="125"/>
    </row>
    <row r="32" spans="1:33" ht="13.25" customHeight="1">
      <c r="A32" s="164" t="s">
        <v>176</v>
      </c>
      <c r="B32" s="131" t="s">
        <v>149</v>
      </c>
      <c r="C32" s="164" t="s">
        <v>150</v>
      </c>
      <c r="D32" s="126">
        <v>75</v>
      </c>
      <c r="E32" s="127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>
        <f>$D32</f>
        <v>75</v>
      </c>
      <c r="AB32" s="125"/>
      <c r="AC32" s="125"/>
      <c r="AD32" s="125"/>
      <c r="AE32" s="125"/>
      <c r="AF32" s="125"/>
      <c r="AG32" s="125"/>
    </row>
    <row r="33" spans="1:33" ht="13.25" customHeight="1">
      <c r="A33" s="164" t="s">
        <v>177</v>
      </c>
      <c r="B33" s="131" t="s">
        <v>149</v>
      </c>
      <c r="C33" s="164" t="s">
        <v>150</v>
      </c>
      <c r="D33" s="126">
        <v>75</v>
      </c>
      <c r="E33" s="127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>
        <f>$D33</f>
        <v>75</v>
      </c>
      <c r="AB33" s="125"/>
      <c r="AC33" s="125"/>
      <c r="AD33" s="125"/>
      <c r="AE33" s="125"/>
      <c r="AF33" s="125"/>
      <c r="AG33" s="125"/>
    </row>
    <row r="34" spans="1:33" ht="13.25" customHeight="1">
      <c r="A34" s="164" t="s">
        <v>178</v>
      </c>
      <c r="B34" s="131" t="s">
        <v>149</v>
      </c>
      <c r="C34" s="164" t="s">
        <v>150</v>
      </c>
      <c r="D34" s="126">
        <v>75</v>
      </c>
      <c r="E34" s="127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>
        <f>$D34</f>
        <v>75</v>
      </c>
      <c r="AB34" s="125"/>
      <c r="AC34" s="125"/>
      <c r="AD34" s="125"/>
      <c r="AE34" s="125"/>
      <c r="AF34" s="125"/>
      <c r="AG34" s="125"/>
    </row>
    <row r="35" spans="1:33" ht="13.25" customHeight="1">
      <c r="A35" s="164" t="s">
        <v>179</v>
      </c>
      <c r="B35" s="131" t="s">
        <v>149</v>
      </c>
      <c r="C35" s="164" t="s">
        <v>165</v>
      </c>
      <c r="D35" s="126">
        <v>50</v>
      </c>
      <c r="E35" s="127"/>
      <c r="F35" s="125"/>
      <c r="G35" s="125"/>
      <c r="H35" s="125"/>
      <c r="I35" s="125">
        <f>$D35</f>
        <v>50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3" ht="13.25" customHeight="1">
      <c r="A36" s="164" t="s">
        <v>180</v>
      </c>
      <c r="B36" s="131" t="s">
        <v>124</v>
      </c>
      <c r="C36" s="164" t="s">
        <v>181</v>
      </c>
      <c r="D36" s="126">
        <v>64.400000000000006</v>
      </c>
      <c r="E36" s="165" t="s">
        <v>182</v>
      </c>
      <c r="F36" s="125"/>
      <c r="G36" s="125"/>
      <c r="H36" s="125"/>
      <c r="I36" s="125"/>
      <c r="J36" s="125"/>
      <c r="K36" s="125"/>
      <c r="L36" s="125">
        <v>26.95</v>
      </c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>
        <v>4.25</v>
      </c>
      <c r="X36" s="125"/>
      <c r="Y36" s="125"/>
      <c r="Z36" s="125">
        <v>33.200000000000003</v>
      </c>
      <c r="AA36" s="125"/>
      <c r="AB36" s="125"/>
      <c r="AC36" s="125"/>
      <c r="AD36" s="125"/>
      <c r="AE36" s="125"/>
      <c r="AF36" s="125"/>
      <c r="AG36" s="125"/>
    </row>
    <row r="37" spans="1:33" ht="13.25" customHeight="1">
      <c r="A37" s="164" t="s">
        <v>183</v>
      </c>
      <c r="B37" s="131" t="s">
        <v>149</v>
      </c>
      <c r="C37" s="164" t="s">
        <v>150</v>
      </c>
      <c r="D37" s="126">
        <v>75</v>
      </c>
      <c r="E37" s="127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>
        <f>$D37</f>
        <v>75</v>
      </c>
      <c r="AB37" s="125"/>
      <c r="AC37" s="125"/>
      <c r="AD37" s="125"/>
      <c r="AE37" s="125"/>
      <c r="AF37" s="125"/>
      <c r="AG37" s="125"/>
    </row>
    <row r="38" spans="1:33" ht="13.25" customHeight="1">
      <c r="A38" s="164" t="s">
        <v>184</v>
      </c>
      <c r="B38" s="131" t="s">
        <v>124</v>
      </c>
      <c r="C38" s="164" t="s">
        <v>162</v>
      </c>
      <c r="D38" s="126">
        <v>87.06</v>
      </c>
      <c r="E38" s="165" t="s">
        <v>31</v>
      </c>
      <c r="F38" s="125"/>
      <c r="G38" s="125"/>
      <c r="H38" s="125"/>
      <c r="I38" s="125">
        <f>$D38</f>
        <v>87.06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1:33" ht="13.25" customHeight="1">
      <c r="A39" s="164" t="s">
        <v>185</v>
      </c>
      <c r="B39" s="131" t="s">
        <v>124</v>
      </c>
      <c r="C39" s="164" t="s">
        <v>162</v>
      </c>
      <c r="D39" s="126">
        <v>39.950000000000003</v>
      </c>
      <c r="E39" s="165" t="s">
        <v>186</v>
      </c>
      <c r="F39" s="125"/>
      <c r="G39" s="125"/>
      <c r="H39" s="125"/>
      <c r="I39" s="125"/>
      <c r="J39" s="125"/>
      <c r="K39" s="125"/>
      <c r="L39" s="125">
        <f>$D39</f>
        <v>39.950000000000003</v>
      </c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1:33" ht="13.25" customHeight="1">
      <c r="A40" s="164" t="s">
        <v>187</v>
      </c>
      <c r="B40" s="131" t="s">
        <v>149</v>
      </c>
      <c r="C40" s="164" t="s">
        <v>150</v>
      </c>
      <c r="D40" s="126">
        <v>75</v>
      </c>
      <c r="E40" s="127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>
        <f>$D40</f>
        <v>75</v>
      </c>
      <c r="AB40" s="125"/>
      <c r="AC40" s="125"/>
      <c r="AD40" s="125"/>
      <c r="AE40" s="125"/>
      <c r="AF40" s="125"/>
      <c r="AG40" s="125"/>
    </row>
    <row r="41" spans="1:33" ht="13.25" customHeight="1">
      <c r="A41" s="164" t="s">
        <v>187</v>
      </c>
      <c r="B41" s="131" t="s">
        <v>153</v>
      </c>
      <c r="C41" s="164" t="s">
        <v>188</v>
      </c>
      <c r="D41" s="126">
        <v>13.2</v>
      </c>
      <c r="E41" s="127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>
        <f>$D41</f>
        <v>13.2</v>
      </c>
      <c r="AF41" s="125"/>
      <c r="AG41" s="125"/>
    </row>
    <row r="42" spans="1:33" ht="13.25" customHeight="1">
      <c r="A42" s="164" t="s">
        <v>189</v>
      </c>
      <c r="B42" s="131" t="s">
        <v>153</v>
      </c>
      <c r="C42" s="164" t="s">
        <v>188</v>
      </c>
      <c r="D42" s="126">
        <v>131.87</v>
      </c>
      <c r="E42" s="127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>
        <f>$D42</f>
        <v>131.87</v>
      </c>
      <c r="AF42" s="125"/>
      <c r="AG42" s="125"/>
    </row>
    <row r="43" spans="1:33" ht="13.25" customHeight="1">
      <c r="A43" s="164" t="s">
        <v>190</v>
      </c>
      <c r="B43" s="131" t="s">
        <v>149</v>
      </c>
      <c r="C43" s="164" t="s">
        <v>150</v>
      </c>
      <c r="D43" s="126">
        <v>75</v>
      </c>
      <c r="E43" s="127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>
        <f>$D43</f>
        <v>75</v>
      </c>
      <c r="AB43" s="125"/>
      <c r="AC43" s="125"/>
      <c r="AD43" s="125"/>
      <c r="AE43" s="125"/>
      <c r="AF43" s="125"/>
      <c r="AG43" s="125"/>
    </row>
    <row r="44" spans="1:33" ht="13.25" customHeight="1">
      <c r="A44" s="164" t="s">
        <v>191</v>
      </c>
      <c r="B44" s="131" t="s">
        <v>149</v>
      </c>
      <c r="C44" s="164" t="s">
        <v>165</v>
      </c>
      <c r="D44" s="126">
        <v>50</v>
      </c>
      <c r="E44" s="127"/>
      <c r="F44" s="125"/>
      <c r="G44" s="125"/>
      <c r="H44" s="125"/>
      <c r="I44" s="125">
        <f>$D44</f>
        <v>50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1:33" ht="13.25" customHeight="1">
      <c r="A45" s="123"/>
      <c r="B45" s="169" t="s">
        <v>79</v>
      </c>
      <c r="C45" s="170">
        <f>$D45-E45</f>
        <v>0</v>
      </c>
      <c r="D45" s="126">
        <f>SUM($D6:$D44)</f>
        <v>5715.32</v>
      </c>
      <c r="E45" s="127">
        <f>SUM(F45:AG45)</f>
        <v>5715.32</v>
      </c>
      <c r="F45" s="125">
        <f t="shared" ref="F45:AG45" si="0">SUM(F5:F44)</f>
        <v>1200</v>
      </c>
      <c r="G45" s="125">
        <f t="shared" si="0"/>
        <v>108</v>
      </c>
      <c r="H45" s="125">
        <f t="shared" si="0"/>
        <v>0</v>
      </c>
      <c r="I45" s="125">
        <f t="shared" si="0"/>
        <v>446.06</v>
      </c>
      <c r="J45" s="125">
        <f t="shared" si="0"/>
        <v>0</v>
      </c>
      <c r="K45" s="125">
        <f t="shared" si="0"/>
        <v>0</v>
      </c>
      <c r="L45" s="125">
        <f t="shared" si="0"/>
        <v>66.900000000000006</v>
      </c>
      <c r="M45" s="125">
        <f t="shared" si="0"/>
        <v>0</v>
      </c>
      <c r="N45" s="125">
        <f t="shared" si="0"/>
        <v>0</v>
      </c>
      <c r="O45" s="125">
        <f t="shared" si="0"/>
        <v>0</v>
      </c>
      <c r="P45" s="125">
        <f t="shared" si="0"/>
        <v>0</v>
      </c>
      <c r="Q45" s="125">
        <f t="shared" si="0"/>
        <v>31.5</v>
      </c>
      <c r="R45" s="125">
        <f t="shared" si="0"/>
        <v>0</v>
      </c>
      <c r="S45" s="125">
        <f t="shared" si="0"/>
        <v>0</v>
      </c>
      <c r="T45" s="125">
        <f t="shared" si="0"/>
        <v>0</v>
      </c>
      <c r="U45" s="125">
        <f t="shared" si="0"/>
        <v>0</v>
      </c>
      <c r="V45" s="125">
        <f t="shared" si="0"/>
        <v>0</v>
      </c>
      <c r="W45" s="125">
        <f t="shared" si="0"/>
        <v>32.090000000000003</v>
      </c>
      <c r="X45" s="125">
        <f t="shared" si="0"/>
        <v>1305</v>
      </c>
      <c r="Y45" s="125">
        <f t="shared" si="0"/>
        <v>31.5</v>
      </c>
      <c r="Z45" s="125">
        <f t="shared" si="0"/>
        <v>33.200000000000003</v>
      </c>
      <c r="AA45" s="125">
        <f t="shared" si="0"/>
        <v>900</v>
      </c>
      <c r="AB45" s="125">
        <f t="shared" si="0"/>
        <v>0</v>
      </c>
      <c r="AC45" s="125">
        <f t="shared" si="0"/>
        <v>0</v>
      </c>
      <c r="AD45" s="125">
        <f t="shared" si="0"/>
        <v>0</v>
      </c>
      <c r="AE45" s="125">
        <f t="shared" si="0"/>
        <v>361.07</v>
      </c>
      <c r="AF45" s="125">
        <f>SUM(AF5:AF44)</f>
        <v>1200</v>
      </c>
      <c r="AG45" s="125">
        <f t="shared" si="0"/>
        <v>0</v>
      </c>
    </row>
    <row r="46" spans="1:33" ht="13.25" customHeight="1">
      <c r="A46" s="164" t="s">
        <v>192</v>
      </c>
      <c r="B46" s="122"/>
      <c r="C46" s="123"/>
      <c r="D46" s="126"/>
      <c r="E46" s="127"/>
      <c r="F46" s="125"/>
      <c r="G46" s="125">
        <f>1200*7/10</f>
        <v>840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>
        <f>1200*3/10</f>
        <v>360</v>
      </c>
      <c r="Y46" s="125"/>
      <c r="Z46" s="125"/>
      <c r="AA46" s="125"/>
      <c r="AB46" s="125"/>
      <c r="AC46" s="125"/>
      <c r="AD46" s="125"/>
      <c r="AE46" s="125"/>
      <c r="AF46" s="125">
        <v>-1200</v>
      </c>
      <c r="AG46" s="125"/>
    </row>
    <row r="47" spans="1:33" ht="13.25" customHeight="1">
      <c r="A47" s="164" t="s">
        <v>193</v>
      </c>
      <c r="B47" s="131" t="s">
        <v>82</v>
      </c>
      <c r="C47" s="123"/>
      <c r="D47" s="126">
        <v>8</v>
      </c>
      <c r="E47" s="127"/>
      <c r="F47" s="125"/>
      <c r="G47" s="125"/>
      <c r="H47" s="125"/>
      <c r="I47" s="125">
        <f>$D47</f>
        <v>8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8"/>
    </row>
    <row r="48" spans="1:33" ht="13.25" customHeight="1">
      <c r="A48" s="164" t="s">
        <v>193</v>
      </c>
      <c r="B48" s="131" t="s">
        <v>83</v>
      </c>
      <c r="C48" s="123"/>
      <c r="D48" s="126">
        <v>7.6</v>
      </c>
      <c r="E48" s="127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>
        <f>$D48</f>
        <v>7.6</v>
      </c>
      <c r="X48" s="125"/>
      <c r="Y48" s="125"/>
      <c r="Z48" s="125"/>
      <c r="AA48" s="125"/>
      <c r="AB48" s="125"/>
      <c r="AC48" s="125"/>
      <c r="AD48" s="125"/>
      <c r="AE48" s="125"/>
      <c r="AF48" s="125"/>
      <c r="AG48" s="128"/>
    </row>
    <row r="49" spans="1:33" ht="13.25" customHeight="1">
      <c r="A49" s="164" t="s">
        <v>193</v>
      </c>
      <c r="B49" s="131" t="s">
        <v>84</v>
      </c>
      <c r="C49" s="123"/>
      <c r="D49" s="126">
        <v>10</v>
      </c>
      <c r="E49" s="127"/>
      <c r="F49" s="125"/>
      <c r="G49" s="125"/>
      <c r="H49" s="125">
        <f>$D49</f>
        <v>10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1:33" ht="13.25" customHeight="1">
      <c r="A50" s="164" t="s">
        <v>193</v>
      </c>
      <c r="B50" s="131" t="s">
        <v>85</v>
      </c>
      <c r="C50" s="123"/>
      <c r="D50" s="126">
        <v>56</v>
      </c>
      <c r="E50" s="127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>
        <f>$D50</f>
        <v>56</v>
      </c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</row>
    <row r="51" spans="1:33" ht="13.25" customHeight="1">
      <c r="A51" s="123"/>
      <c r="B51" s="122"/>
      <c r="C51" s="123"/>
      <c r="D51" s="126"/>
      <c r="E51" s="127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8"/>
    </row>
    <row r="52" spans="1:33" ht="13.25" customHeight="1">
      <c r="A52" s="164" t="s">
        <v>194</v>
      </c>
      <c r="B52" s="122"/>
      <c r="C52" s="123"/>
      <c r="D52" s="126">
        <v>139.21</v>
      </c>
      <c r="E52" s="127"/>
      <c r="F52" s="125"/>
      <c r="G52" s="125">
        <f>$D52</f>
        <v>139.21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8"/>
    </row>
    <row r="53" spans="1:33" ht="13.25" customHeight="1">
      <c r="A53" s="123"/>
      <c r="B53" s="122"/>
      <c r="C53" s="123"/>
      <c r="D53" s="126"/>
      <c r="E53" s="127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1:33" ht="13.25" customHeight="1">
      <c r="A54" s="123"/>
      <c r="B54" s="169" t="s">
        <v>79</v>
      </c>
      <c r="C54" s="170">
        <f>$D54-E54</f>
        <v>0</v>
      </c>
      <c r="D54" s="126">
        <f>SUM($D45:$D53)</f>
        <v>5936.13</v>
      </c>
      <c r="E54" s="127">
        <f>SUM(F54:AG54)</f>
        <v>5936.13</v>
      </c>
      <c r="F54" s="125">
        <f t="shared" ref="F54:AG54" si="1">SUM(F45:F53)</f>
        <v>1200</v>
      </c>
      <c r="G54" s="125">
        <f>SUM(G45:G53)</f>
        <v>1087.21</v>
      </c>
      <c r="H54" s="125">
        <f t="shared" si="1"/>
        <v>10</v>
      </c>
      <c r="I54" s="125">
        <f t="shared" si="1"/>
        <v>454.06</v>
      </c>
      <c r="J54" s="125">
        <f t="shared" si="1"/>
        <v>0</v>
      </c>
      <c r="K54" s="125">
        <f t="shared" si="1"/>
        <v>0</v>
      </c>
      <c r="L54" s="125">
        <f t="shared" si="1"/>
        <v>66.900000000000006</v>
      </c>
      <c r="M54" s="125">
        <f t="shared" si="1"/>
        <v>0</v>
      </c>
      <c r="N54" s="125">
        <f t="shared" si="1"/>
        <v>0</v>
      </c>
      <c r="O54" s="125">
        <f t="shared" si="1"/>
        <v>0</v>
      </c>
      <c r="P54" s="125">
        <f t="shared" si="1"/>
        <v>0</v>
      </c>
      <c r="Q54" s="125">
        <f t="shared" si="1"/>
        <v>31.5</v>
      </c>
      <c r="R54" s="125">
        <f t="shared" si="1"/>
        <v>0</v>
      </c>
      <c r="S54" s="125">
        <f t="shared" si="1"/>
        <v>0</v>
      </c>
      <c r="T54" s="125">
        <f t="shared" si="1"/>
        <v>0</v>
      </c>
      <c r="U54" s="125">
        <f t="shared" si="1"/>
        <v>0</v>
      </c>
      <c r="V54" s="125">
        <f t="shared" si="1"/>
        <v>0</v>
      </c>
      <c r="W54" s="125">
        <f t="shared" si="1"/>
        <v>95.69</v>
      </c>
      <c r="X54" s="125">
        <f t="shared" si="1"/>
        <v>1665</v>
      </c>
      <c r="Y54" s="125">
        <f t="shared" si="1"/>
        <v>31.5</v>
      </c>
      <c r="Z54" s="125">
        <f t="shared" si="1"/>
        <v>33.200000000000003</v>
      </c>
      <c r="AA54" s="125">
        <f t="shared" si="1"/>
        <v>900</v>
      </c>
      <c r="AB54" s="125">
        <f t="shared" si="1"/>
        <v>0</v>
      </c>
      <c r="AC54" s="125">
        <f t="shared" si="1"/>
        <v>0</v>
      </c>
      <c r="AD54" s="125">
        <f t="shared" si="1"/>
        <v>0</v>
      </c>
      <c r="AE54" s="125">
        <f t="shared" si="1"/>
        <v>361.07</v>
      </c>
      <c r="AF54" s="125">
        <f t="shared" si="1"/>
        <v>0</v>
      </c>
      <c r="AG54" s="125">
        <f t="shared" si="1"/>
        <v>0</v>
      </c>
    </row>
    <row r="55" spans="1:33" ht="13.25" customHeight="1">
      <c r="A55" s="123"/>
      <c r="B55" s="122"/>
      <c r="C55" s="123"/>
      <c r="D55" s="126"/>
      <c r="E55" s="127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</row>
    <row r="56" spans="1:33" ht="13.25" customHeight="1">
      <c r="A56" s="607" t="s">
        <v>195</v>
      </c>
      <c r="B56" s="608"/>
      <c r="C56" s="608"/>
      <c r="D56" s="126">
        <f>SUM(G54:AF54)-33</f>
        <v>4703.1299999999992</v>
      </c>
      <c r="E56" s="127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</row>
    <row r="57" spans="1:33" ht="13.25" customHeight="1">
      <c r="A57" s="123"/>
      <c r="B57" s="122"/>
      <c r="C57" s="123"/>
      <c r="D57" s="126"/>
      <c r="E57" s="127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</row>
    <row r="58" spans="1:33" ht="13.25" customHeight="1">
      <c r="A58" s="123"/>
      <c r="B58" s="122"/>
      <c r="C58" s="123"/>
      <c r="D58" s="126"/>
      <c r="E58" s="127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</row>
    <row r="59" spans="1:33" ht="13.25" customHeight="1">
      <c r="A59" s="123"/>
      <c r="B59" s="122"/>
      <c r="C59" s="123"/>
      <c r="D59" s="126"/>
      <c r="E59" s="127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</row>
  </sheetData>
  <mergeCells count="3">
    <mergeCell ref="A1:AG1"/>
    <mergeCell ref="A2:AF2"/>
    <mergeCell ref="A56:C56"/>
  </mergeCells>
  <pageMargins left="1" right="1" top="1" bottom="1" header="0.25" footer="0.25"/>
  <pageSetup scale="44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Accounts - TNRA ACCOUNTS 01.04.</vt:lpstr>
      <vt:lpstr>Income 2021-2022 - Table 1-1</vt:lpstr>
      <vt:lpstr>Expenses 2021-2022</vt:lpstr>
      <vt:lpstr>Bank down load 2021-2022</vt:lpstr>
      <vt:lpstr>Income 2023-2024 - Table 1-1</vt:lpstr>
      <vt:lpstr>Expenses 2023-2024</vt:lpstr>
      <vt:lpstr>Bank down load 2023-2024</vt:lpstr>
      <vt:lpstr>Income 2020 to 2021 - Table 1-1</vt:lpstr>
      <vt:lpstr>Expenses 2020 to 2021</vt:lpstr>
      <vt:lpstr>Income TNRA 2019 to 2020</vt:lpstr>
      <vt:lpstr>Expenses 2019 to 2020</vt:lpstr>
      <vt:lpstr>Income - TNRA INCOME 2018 to 20</vt:lpstr>
      <vt:lpstr>Expenses - TNRA EXPENSES 2018 -</vt:lpstr>
      <vt:lpstr>Bank Download 2017-2018</vt:lpstr>
      <vt:lpstr>Bank Download 2018-2019</vt:lpstr>
      <vt:lpstr>Bank download 2019-2020</vt:lpstr>
      <vt:lpstr>Bank download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Masih</dc:creator>
  <cp:lastModifiedBy>Sky Cracknell</cp:lastModifiedBy>
  <cp:lastPrinted>2023-04-03T17:15:40Z</cp:lastPrinted>
  <dcterms:created xsi:type="dcterms:W3CDTF">2022-01-07T15:30:48Z</dcterms:created>
  <dcterms:modified xsi:type="dcterms:W3CDTF">2024-04-22T11:51:00Z</dcterms:modified>
</cp:coreProperties>
</file>